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8" windowHeight="4014" activeTab="3"/>
  </bookViews>
  <sheets>
    <sheet name="Land Acquisition" sheetId="1" r:id="rId1"/>
    <sheet name="Cost Summary" sheetId="2" r:id="rId2"/>
    <sheet name="ProForma" sheetId="3" r:id="rId3"/>
    <sheet name="Cost Allocation" sheetId="4" r:id="rId4"/>
  </sheets>
  <definedNames/>
  <calcPr fullCalcOnLoad="1"/>
</workbook>
</file>

<file path=xl/sharedStrings.xml><?xml version="1.0" encoding="utf-8"?>
<sst xmlns="http://schemas.openxmlformats.org/spreadsheetml/2006/main" count="429" uniqueCount="284">
  <si>
    <t>Schedule Number</t>
  </si>
  <si>
    <t>Address</t>
  </si>
  <si>
    <t>Property Class</t>
  </si>
  <si>
    <t>Acreage</t>
  </si>
  <si>
    <t>Square Footage</t>
  </si>
  <si>
    <t>Ownership</t>
  </si>
  <si>
    <t>1804 St. Elmo Ct.</t>
  </si>
  <si>
    <t>Residential</t>
  </si>
  <si>
    <t>Commercial</t>
  </si>
  <si>
    <t>1812 Mt. Washington</t>
  </si>
  <si>
    <t>1801 St. Elmo Ct</t>
  </si>
  <si>
    <t>1803 St. Elmo Ct.</t>
  </si>
  <si>
    <t>1805 St. Elmo Ct.</t>
  </si>
  <si>
    <t>1807 St. Elmo Ct.</t>
  </si>
  <si>
    <t>1809  St. Elmo Ct.</t>
  </si>
  <si>
    <t>1808 St. Elmo Ct.</t>
  </si>
  <si>
    <t>Apartments</t>
  </si>
  <si>
    <t>1806 St. Elmo Ct.</t>
  </si>
  <si>
    <t>1827 Mt. Washington</t>
  </si>
  <si>
    <t>UnImp. Land</t>
  </si>
  <si>
    <t>114 E. Cheyenne Rd.</t>
  </si>
  <si>
    <t>110 E. Cheyenne Rd</t>
  </si>
  <si>
    <t>1833 Mt. Washington</t>
  </si>
  <si>
    <t>100 E. Cheyenne Rd.</t>
  </si>
  <si>
    <t>Med. Office</t>
  </si>
  <si>
    <t>1818 Mt. Washington Ave</t>
  </si>
  <si>
    <t>Multi-Family</t>
  </si>
  <si>
    <t>55 E. St. Elmo Ave</t>
  </si>
  <si>
    <t>130 E. Cheyenne Rd</t>
  </si>
  <si>
    <t>118-124 E. Cheyenne Rd</t>
  </si>
  <si>
    <t>1831 Mt. Washington Ave</t>
  </si>
  <si>
    <t>108 &amp; 104 E. Cheyenne Rd</t>
  </si>
  <si>
    <t>Total</t>
  </si>
  <si>
    <t>Land</t>
  </si>
  <si>
    <t>Improvements</t>
  </si>
  <si>
    <t>12 E Cheyenne Road</t>
  </si>
  <si>
    <t>incl</t>
  </si>
  <si>
    <t xml:space="preserve">Building </t>
  </si>
  <si>
    <t>SF</t>
  </si>
  <si>
    <t>TOTALS</t>
  </si>
  <si>
    <t>TOTAL OF ALL</t>
  </si>
  <si>
    <t>CREEKWALK</t>
  </si>
  <si>
    <t>Property Acquisition Schedule</t>
  </si>
  <si>
    <t>PSF</t>
  </si>
  <si>
    <t xml:space="preserve">Developer </t>
  </si>
  <si>
    <t>Contract</t>
  </si>
  <si>
    <t>Square Feet</t>
  </si>
  <si>
    <t>Unit Cost Per SF</t>
  </si>
  <si>
    <t>Contribution</t>
  </si>
  <si>
    <t>Remainder</t>
  </si>
  <si>
    <t>Total Cost</t>
  </si>
  <si>
    <t>Total By Category</t>
  </si>
  <si>
    <t>PROPERTY ACQUISITION COSTS - NEW DEVELOPMENT</t>
  </si>
  <si>
    <t>Property Acquisition Costs - Creekwalk</t>
  </si>
  <si>
    <t xml:space="preserve">     Subtotal Property Acquisition Costs</t>
  </si>
  <si>
    <t>Legal</t>
  </si>
  <si>
    <t>Closing Costs</t>
  </si>
  <si>
    <t>TOTAL PROPERTY ACQUISITION COSTS</t>
  </si>
  <si>
    <t>A</t>
  </si>
  <si>
    <t>PRE-CONSTRUCTION DEVELOPMENT EXPENSE</t>
  </si>
  <si>
    <t>URA Plan, Electrical Underground &amp; Streetscape</t>
  </si>
  <si>
    <t>URA Organization Costs - Urban Renewal Plan</t>
  </si>
  <si>
    <t>Relocation Cost</t>
  </si>
  <si>
    <t xml:space="preserve">Electrical Undergrounding - SNA 600 Amp Transmission Line </t>
  </si>
  <si>
    <t>Creekwalk Development</t>
  </si>
  <si>
    <t>Property Acquisition Costs - Cheyenne Road Widening</t>
  </si>
  <si>
    <t>Streetscape, Signage, Landscape</t>
  </si>
  <si>
    <t>Pedestrian Bridge / Creekside Landscape / Plaza</t>
  </si>
  <si>
    <t>Concept Development Planning</t>
  </si>
  <si>
    <t>Streetscape Design Standards</t>
  </si>
  <si>
    <t>Signage Design Standards</t>
  </si>
  <si>
    <t>Hydrology Studies</t>
  </si>
  <si>
    <t>Developer Administration Fee @ 4%</t>
  </si>
  <si>
    <t>URA Management Fee</t>
  </si>
  <si>
    <t>3 Years</t>
  </si>
  <si>
    <t>TOTAL URA PLAN, ELECTRICAL UNDERGROUND &amp; STREETSCAPE</t>
  </si>
  <si>
    <t>B</t>
  </si>
  <si>
    <t xml:space="preserve">Environmental Remediation / Demolition </t>
  </si>
  <si>
    <t>Environmental Assessments - Phase 1 / Phase 2</t>
  </si>
  <si>
    <t>Environmental Remediation</t>
  </si>
  <si>
    <t>Demolition</t>
  </si>
  <si>
    <t>TOTAL ENVIRONMENTAL REMEDIATION/DEMOLITION</t>
  </si>
  <si>
    <t>C</t>
  </si>
  <si>
    <t>D</t>
  </si>
  <si>
    <t>TOTAL SITE DEVELOPMENT COSTS</t>
  </si>
  <si>
    <t>E</t>
  </si>
  <si>
    <t>TOTAL URA PLAN / STREETSCAPE / E&amp;R / VACATIONS / SDC</t>
  </si>
  <si>
    <t>F</t>
  </si>
  <si>
    <t>Land Entitlements</t>
  </si>
  <si>
    <t>Surveying</t>
  </si>
  <si>
    <t>Civil Engineering - Development Plan</t>
  </si>
  <si>
    <t>Development Consulting</t>
  </si>
  <si>
    <t>Geotechnical / Soils Report / Erosion Control</t>
  </si>
  <si>
    <t>Traffic Studies</t>
  </si>
  <si>
    <t>Platting Fees / Re-Zoning Fees</t>
  </si>
  <si>
    <t>Land Use Application &amp; Review Fees</t>
  </si>
  <si>
    <t>Title, Legal &amp; Other Planning</t>
  </si>
  <si>
    <t>TOTAL LAND ENTITLEMENTS</t>
  </si>
  <si>
    <t>G</t>
  </si>
  <si>
    <t xml:space="preserve">Architecture &amp; Engineering </t>
  </si>
  <si>
    <t>Architecture - Building Shell</t>
  </si>
  <si>
    <t>Architecture - Tenant Finish</t>
  </si>
  <si>
    <t>Civil Engineering - Construction Plans</t>
  </si>
  <si>
    <t xml:space="preserve">TOTAL ARCHITECTURE &amp; ENGINEERING </t>
  </si>
  <si>
    <t>H</t>
  </si>
  <si>
    <t>Other Pre-Construction Expense</t>
  </si>
  <si>
    <t>County Use Tax</t>
  </si>
  <si>
    <t>Legal Fees</t>
  </si>
  <si>
    <t>Liability Insurance</t>
  </si>
  <si>
    <t>Mortgage Title Insurance</t>
  </si>
  <si>
    <t>Other Development Organization &amp; Plan Expense</t>
  </si>
  <si>
    <t>Tests &amp; Inspections</t>
  </si>
  <si>
    <t>Water &amp; Wastewater Development Fees</t>
  </si>
  <si>
    <t>TOTAL OTHER PRE-CONSTRUCTION EXPENSE</t>
  </si>
  <si>
    <t>I</t>
  </si>
  <si>
    <t>Traffic Lights</t>
  </si>
  <si>
    <t>City</t>
  </si>
  <si>
    <t>J</t>
  </si>
  <si>
    <t>TOTAL PRE-CONSTRUCTION DEVELOPMENT EXPENSE</t>
  </si>
  <si>
    <t>K</t>
  </si>
  <si>
    <t>CONSTRUCTION COSTS</t>
  </si>
  <si>
    <t>Hard Building Costs</t>
  </si>
  <si>
    <t>Building Shell Construction</t>
  </si>
  <si>
    <t>TOTAL BUILDING SHELL CONSTRUCTION</t>
  </si>
  <si>
    <t>Tenant Finish</t>
  </si>
  <si>
    <t xml:space="preserve">TOTAL TENANT FINISH </t>
  </si>
  <si>
    <t>TOTAL BUILDING COSTS</t>
  </si>
  <si>
    <t>L</t>
  </si>
  <si>
    <t>Soft Construction Costs</t>
  </si>
  <si>
    <t>Administration Costs</t>
  </si>
  <si>
    <t>36 Months</t>
  </si>
  <si>
    <t>Appraisal</t>
  </si>
  <si>
    <t xml:space="preserve">Construction Loan Financing  </t>
  </si>
  <si>
    <t>Developer Fees @ 4%</t>
  </si>
  <si>
    <t>Leasing Commissions</t>
  </si>
  <si>
    <t>Legal - Construction Loan</t>
  </si>
  <si>
    <t>Legal - Lease Review</t>
  </si>
  <si>
    <t>17 Future Tenants</t>
  </si>
  <si>
    <t>Lender Inspection Fee</t>
  </si>
  <si>
    <t>Marketing/Travel</t>
  </si>
  <si>
    <t>Miscellaneous</t>
  </si>
  <si>
    <t>Real Property Taxes</t>
  </si>
  <si>
    <t>TOTAL OTHER SOFT CONSTRUCTION COSTS</t>
  </si>
  <si>
    <t>TOTAL CONSTRUCTION COSTS</t>
  </si>
  <si>
    <t>TOTAL DEVELOPMENT COSTS</t>
  </si>
  <si>
    <t>Developer Equity</t>
  </si>
  <si>
    <t>Construction Loan</t>
  </si>
  <si>
    <t>Pre-Development Bond</t>
  </si>
  <si>
    <t>Property Acquisition Basis - Creekwalk</t>
  </si>
  <si>
    <t>URA Plan &amp; Relocation Expenses / Streetscape</t>
  </si>
  <si>
    <t xml:space="preserve">Electrical Undergrounding - SNA 60 Amp Transmission Line </t>
  </si>
  <si>
    <r>
      <t xml:space="preserve">Environmental Remediation / Demolition </t>
    </r>
    <r>
      <rPr>
        <b/>
        <sz val="9"/>
        <color indexed="8"/>
        <rFont val="Calibri"/>
        <family val="2"/>
      </rPr>
      <t>{A}</t>
    </r>
  </si>
  <si>
    <t>TOTAL BY CATEGORY</t>
  </si>
  <si>
    <t>EQUITY, CONSTRUCTION LOAN, BOND, CAPITAL STACK</t>
  </si>
  <si>
    <t>Concept - Restaurant &amp; Retail Development</t>
  </si>
  <si>
    <t>Location - Nevada Avenue - Cheyenne Road to East St Elmo Avenue</t>
  </si>
  <si>
    <t>LAND COSTS/DEVELOPMENT BUDGET/FINANCING</t>
  </si>
  <si>
    <t>Proforma</t>
  </si>
  <si>
    <t>SUMMARY OF CASH FLOWS &amp; VALUATION ANALYSIS</t>
  </si>
  <si>
    <t>Total Property Acquisition Costs</t>
  </si>
  <si>
    <t>Financing Costs</t>
  </si>
  <si>
    <t>Total Development Budget</t>
  </si>
  <si>
    <t>Pre-Construction Development Expense</t>
  </si>
  <si>
    <t xml:space="preserve">          Equity in Land Aggregation</t>
  </si>
  <si>
    <t>Environmental Remediation / Demolition</t>
  </si>
  <si>
    <t xml:space="preserve">          URA Reimburseable Costs</t>
  </si>
  <si>
    <t xml:space="preserve">Site Development Costs </t>
  </si>
  <si>
    <t>Pro Forma Sales Revenues</t>
  </si>
  <si>
    <t xml:space="preserve">          CSU System Improvement Fund Deposit</t>
  </si>
  <si>
    <t xml:space="preserve">          Deferred Developer Admin Fees</t>
  </si>
  <si>
    <t>Architecture &amp; Engineering</t>
  </si>
  <si>
    <t xml:space="preserve">          Deferred Developer Fees</t>
  </si>
  <si>
    <t xml:space="preserve">Estimated Annual Sales </t>
  </si>
  <si>
    <t xml:space="preserve">          Other Development Organization &amp; Plan Expense</t>
  </si>
  <si>
    <t>Total Pre-Construction Development Expense</t>
  </si>
  <si>
    <t>Public Financing Cash Flows</t>
  </si>
  <si>
    <t xml:space="preserve">               Subtotal</t>
  </si>
  <si>
    <t>Public Improvement Fees @ 2.5%</t>
  </si>
  <si>
    <t>Construction Costs</t>
  </si>
  <si>
    <t>Tax Increment - Sales @ 1.5%</t>
  </si>
  <si>
    <t>Net Development Financing Requirement</t>
  </si>
  <si>
    <t>Tax Increment - Ad Valorem</t>
  </si>
  <si>
    <t>Pre-Development Bond Proceeds</t>
  </si>
  <si>
    <t>Total Construction Costs</t>
  </si>
  <si>
    <t>Estimated Public Financing Cash Flows</t>
  </si>
  <si>
    <t>Construction Loan @ 70% LTV</t>
  </si>
  <si>
    <t>Bond Revenue Analysis</t>
  </si>
  <si>
    <t>Total Project Cost</t>
  </si>
  <si>
    <t>Valuation Analysis</t>
  </si>
  <si>
    <t>Total Annual Lease Revenues</t>
  </si>
  <si>
    <t>Less: Vacancy &amp; Reserves @ 5%</t>
  </si>
  <si>
    <t>Developer Equity Requirement</t>
  </si>
  <si>
    <t>Net Pro Forma Lease Revenues</t>
  </si>
  <si>
    <t>Developer Contributions/Internally Generated Equity</t>
  </si>
  <si>
    <t>Net Equity Required</t>
  </si>
  <si>
    <t>Development Valuation - Stabilized</t>
  </si>
  <si>
    <t>Project Equity - Post Stabilization &amp; Permanent Loan</t>
  </si>
  <si>
    <t>Permanent Financing Summary</t>
  </si>
  <si>
    <t>Net Pro Forma Lease Revenues / Month</t>
  </si>
  <si>
    <t>DSCR</t>
  </si>
  <si>
    <t>Monthly Cash Flow {Net of Debt Service}</t>
  </si>
  <si>
    <t>Annual Cash Flow {Net of Debt Service}</t>
  </si>
  <si>
    <t>EQUITY REQUIREMENT</t>
  </si>
  <si>
    <t>BID SITE DEVELOPMENT COSTS - CREEKWALK</t>
  </si>
  <si>
    <t>Creekwalk LLC</t>
  </si>
  <si>
    <t>1842 Mt Washington Avenue</t>
  </si>
  <si>
    <t>1838 Mt Washington Avenue</t>
  </si>
  <si>
    <t>1844 Mt Washington</t>
  </si>
  <si>
    <t>CHEYENNE ROAD AND CHEYENNE CREEK PUBLIC IMPROVEMENTS</t>
  </si>
  <si>
    <t>Offsite Development</t>
  </si>
  <si>
    <t>Cheyenne Road - Creekwalk</t>
  </si>
  <si>
    <t>Cheyenne Road - Offsite Development</t>
  </si>
  <si>
    <t>South Nevada Avenue - Creekwalk</t>
  </si>
  <si>
    <t>South Nevada Avenue - Offsite Development</t>
  </si>
  <si>
    <t>Concept Planning / Zone Change / Street Vacation</t>
  </si>
  <si>
    <t>Development Plan &amp; Landscape Planning</t>
  </si>
  <si>
    <t>Developer Contributions &amp; Internally Generated Equity:</t>
  </si>
  <si>
    <r>
      <t>Market Value</t>
    </r>
    <r>
      <rPr>
        <b/>
        <sz val="9"/>
        <color indexed="60"/>
        <rFont val="Calibri"/>
        <family val="2"/>
      </rPr>
      <t xml:space="preserve"> </t>
    </r>
    <r>
      <rPr>
        <b/>
        <sz val="9"/>
        <rFont val="Calibri"/>
        <family val="2"/>
      </rPr>
      <t>2018</t>
    </r>
  </si>
  <si>
    <r>
      <t xml:space="preserve">Assessed Value     </t>
    </r>
    <r>
      <rPr>
        <b/>
        <sz val="9"/>
        <rFont val="Calibri"/>
        <family val="2"/>
      </rPr>
      <t>2018</t>
    </r>
  </si>
  <si>
    <r>
      <t xml:space="preserve">Taxes </t>
    </r>
    <r>
      <rPr>
        <b/>
        <sz val="9"/>
        <rFont val="Calibri"/>
        <family val="2"/>
      </rPr>
      <t xml:space="preserve"> 2018</t>
    </r>
  </si>
  <si>
    <t>2 Years</t>
  </si>
  <si>
    <t>Building D (South)</t>
  </si>
  <si>
    <t>Building A (South)</t>
  </si>
  <si>
    <t>Building B (South)</t>
  </si>
  <si>
    <t>Building C (South)</t>
  </si>
  <si>
    <t>Building E (South)</t>
  </si>
  <si>
    <r>
      <t xml:space="preserve">Building Permits - </t>
    </r>
    <r>
      <rPr>
        <i/>
        <sz val="11"/>
        <color indexed="8"/>
        <rFont val="Calibri"/>
        <family val="2"/>
      </rPr>
      <t>Included in Building Shell Construction</t>
    </r>
  </si>
  <si>
    <r>
      <t xml:space="preserve">Staking &amp; Final Civil Engineering - </t>
    </r>
    <r>
      <rPr>
        <i/>
        <sz val="11"/>
        <color indexed="8"/>
        <rFont val="Calibri"/>
        <family val="2"/>
      </rPr>
      <t>Included in Site Development Costs</t>
    </r>
  </si>
  <si>
    <t>Creekwalk LLC Properties</t>
  </si>
  <si>
    <t>OFF-SITE IMPROVEMENTS</t>
  </si>
  <si>
    <t>SIGNAGE</t>
  </si>
  <si>
    <t>Land Title Filings</t>
  </si>
  <si>
    <t>Other Professional Services</t>
  </si>
  <si>
    <t>Net Bond Proceeds - George K Baum 12.6.18</t>
  </si>
  <si>
    <t>Construction Lender Financing - 24 Months @ 6%</t>
  </si>
  <si>
    <t xml:space="preserve">          Environmental Remediation &amp; Demolition</t>
  </si>
  <si>
    <t>Architectural Planning</t>
  </si>
  <si>
    <t>Architecture - Consulting</t>
  </si>
  <si>
    <t>Acquisition Cost &amp; Land Basis</t>
  </si>
  <si>
    <t>UTILITY RELOCATIONS / SITE DEVELOPMENT / OFF-SITE DEVELOPMENT COSTS</t>
  </si>
  <si>
    <t>Landscaping Design Costs</t>
  </si>
  <si>
    <t>Non-Refundable Option Deposits / Other Real Estate Costs</t>
  </si>
  <si>
    <t xml:space="preserve">Building B </t>
  </si>
  <si>
    <t>Building C</t>
  </si>
  <si>
    <t xml:space="preserve">Building D </t>
  </si>
  <si>
    <t xml:space="preserve">Building E </t>
  </si>
  <si>
    <t>Building A</t>
  </si>
  <si>
    <t>Building B</t>
  </si>
  <si>
    <t xml:space="preserve">Building C </t>
  </si>
  <si>
    <t>Building D</t>
  </si>
  <si>
    <t>31,378 SF Restaurant {61% of Total SF}</t>
  </si>
  <si>
    <t>20,308 SF Retail {39% of Total SF}</t>
  </si>
  <si>
    <t>Total Land Area (5.61 Acres / 244,356 SF)</t>
  </si>
  <si>
    <t>Business Improvement District - Other Revenues</t>
  </si>
  <si>
    <t>N/A</t>
  </si>
  <si>
    <t>The Wine Box Business Relocation</t>
  </si>
  <si>
    <t>Crescent Concept Homes Business Relocation</t>
  </si>
  <si>
    <t>10 Years</t>
  </si>
  <si>
    <t>10.5% / 5.25%</t>
  </si>
  <si>
    <t xml:space="preserve">Building A </t>
  </si>
  <si>
    <t xml:space="preserve">                  Cheyenne Road - South Nevada Avenue to Cascade Avenue</t>
  </si>
  <si>
    <t>Business Improvement District @ 50 Mils</t>
  </si>
  <si>
    <t>{*}</t>
  </si>
  <si>
    <t>{*} Average ProForma &amp; Probable Public Revenues</t>
  </si>
  <si>
    <t>Restaurants @ $490/$635 PSF</t>
  </si>
  <si>
    <t>Retail @ $358/$458 PSF</t>
  </si>
  <si>
    <t>Net Bond Revenues - George K Baum 2.15.19</t>
  </si>
  <si>
    <t>Net Equity Requirement</t>
  </si>
  <si>
    <t>DEVELOPMENT COST SUMMARY</t>
  </si>
  <si>
    <t xml:space="preserve">ProForma Summary </t>
  </si>
  <si>
    <t>DEVELOPMENT SOURCES AND USES ALLOCATION</t>
  </si>
  <si>
    <t>Other Financing Costs @ 1%</t>
  </si>
  <si>
    <t>Restaurants - 31,378 SF Leased @ $38.00 PSF NNN</t>
  </si>
  <si>
    <t>Retail - 20,308 SF Leased @ $36.00 PSF NNN</t>
  </si>
  <si>
    <t>Valuation - Capitalized @ 6.25%</t>
  </si>
  <si>
    <t>CONTINGENCY @ 9%</t>
  </si>
  <si>
    <t>CONTINGENCY @ 9% - G, H, J</t>
  </si>
  <si>
    <t>Contingency @ 9%</t>
  </si>
  <si>
    <t>Required Construction Loan @ 65%</t>
  </si>
  <si>
    <t xml:space="preserve">Construction Loan @ 65% LTV </t>
  </si>
  <si>
    <t>Permanent Loan @ 70% LTV</t>
  </si>
  <si>
    <t>Bond Funded</t>
  </si>
  <si>
    <t>C. Loan Funded</t>
  </si>
  <si>
    <t>$20,300,000 @ 5.5% @ 30 Years / Monthly Payment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</si>
</sst>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"/>
    <numFmt numFmtId="167" formatCode="0.00000"/>
    <numFmt numFmtId="168" formatCode="0.0"/>
    <numFmt numFmtId="169" formatCode="&quot;$&quot;#,##0.000_);[Red]\(&quot;$&quot;#,##0.000\)"/>
    <numFmt numFmtId="170" formatCode="&quot;$&quot;#,##0.0000_);[Red]\(&quot;$&quot;#,##0.0000\)"/>
    <numFmt numFmtId="171" formatCode="&quot;$&quot;#,##0.0_);[Red]\(&quot;$&quot;#,##0.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dddd\,\ mmmm\ d\,\ yyyy"/>
    <numFmt numFmtId="175" formatCode="[$-409]h:mm:ss\ AM/PM"/>
    <numFmt numFmtId="176" formatCode="&quot;$&quot;#,##0.00"/>
    <numFmt numFmtId="177" formatCode="&quot;$&quot;#,##0.0"/>
    <numFmt numFmtId="178" formatCode="&quot;$&quot;#,##0"/>
    <numFmt numFmtId="179" formatCode="_(* #,##0.0_);_(* \(#,##0.0\);_(* &quot;-&quot;??_);_(@_)"/>
    <numFmt numFmtId="180" formatCode="_(* #,##0_);_(* \(#,##0\);_(* &quot;-&quot;??_);_(@_)"/>
    <numFmt numFmtId="181" formatCode="#,##0.000_);[Red]\(#,##0.000\)"/>
    <numFmt numFmtId="182" formatCode="#,##0.0_);[Red]\(#,##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"/>
    <numFmt numFmtId="188" formatCode="_(* #,##0.000_);_(* \(#,##0.000\);_(* &quot;-&quot;??_);_(@_)"/>
    <numFmt numFmtId="189" formatCode="[$-409]dddd\,\ mmmm\ dd\,\ yyyy"/>
    <numFmt numFmtId="190" formatCode="0.000"/>
    <numFmt numFmtId="191" formatCode="0.0%"/>
    <numFmt numFmtId="192" formatCode="_(* #,##0.0000_);_(* \(#,##0.000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i/>
      <sz val="14"/>
      <color indexed="62"/>
      <name val="Calibri"/>
      <family val="2"/>
    </font>
    <font>
      <b/>
      <sz val="9"/>
      <color indexed="6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24"/>
      <color indexed="56"/>
      <name val="Constantin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30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30"/>
      <name val="Calibri"/>
      <family val="2"/>
    </font>
    <font>
      <u val="single"/>
      <sz val="14"/>
      <color indexed="8"/>
      <name val="Calibri"/>
      <family val="2"/>
    </font>
    <font>
      <sz val="8"/>
      <color indexed="10"/>
      <name val="Calibri"/>
      <family val="2"/>
    </font>
    <font>
      <sz val="14"/>
      <name val="Calibri"/>
      <family val="2"/>
    </font>
    <font>
      <sz val="14"/>
      <color indexed="30"/>
      <name val="Calibri"/>
      <family val="2"/>
    </font>
    <font>
      <u val="single"/>
      <sz val="14"/>
      <color indexed="30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rgb="FF0070C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rgb="FF0070C0"/>
      <name val="Calibri"/>
      <family val="2"/>
    </font>
    <font>
      <u val="single"/>
      <sz val="14"/>
      <color theme="1"/>
      <name val="Calibri"/>
      <family val="2"/>
    </font>
    <font>
      <sz val="8"/>
      <color rgb="FFFF0000"/>
      <name val="Calibri"/>
      <family val="2"/>
    </font>
    <font>
      <sz val="14"/>
      <color rgb="FF0070C0"/>
      <name val="Calibri"/>
      <family val="2"/>
    </font>
    <font>
      <u val="single"/>
      <sz val="14"/>
      <color rgb="FF0070C0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1" fillId="31" borderId="7" applyNumberFormat="0" applyFont="0" applyAlignment="0" applyProtection="0"/>
    <xf numFmtId="0" fontId="61" fillId="26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2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6" fillId="32" borderId="21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right"/>
    </xf>
    <xf numFmtId="3" fontId="8" fillId="32" borderId="10" xfId="0" applyNumberFormat="1" applyFont="1" applyFill="1" applyBorder="1" applyAlignment="1">
      <alignment horizontal="right"/>
    </xf>
    <xf numFmtId="4" fontId="8" fillId="32" borderId="10" xfId="0" applyNumberFormat="1" applyFont="1" applyFill="1" applyBorder="1" applyAlignment="1">
      <alignment horizontal="right"/>
    </xf>
    <xf numFmtId="8" fontId="63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47" fillId="0" borderId="0" xfId="0" applyFont="1" applyAlignment="1">
      <alignment/>
    </xf>
    <xf numFmtId="0" fontId="53" fillId="0" borderId="0" xfId="49" applyFill="1" applyAlignment="1">
      <alignment/>
    </xf>
    <xf numFmtId="3" fontId="0" fillId="0" borderId="10" xfId="0" applyNumberFormat="1" applyBorder="1" applyAlignment="1">
      <alignment horizontal="right"/>
    </xf>
    <xf numFmtId="0" fontId="6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8" fillId="0" borderId="10" xfId="0" applyNumberFormat="1" applyFont="1" applyBorder="1" applyAlignment="1">
      <alignment horizontal="right"/>
    </xf>
    <xf numFmtId="0" fontId="65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8" fontId="63" fillId="0" borderId="0" xfId="0" applyNumberFormat="1" applyFont="1" applyAlignment="1">
      <alignment horizontal="center"/>
    </xf>
    <xf numFmtId="6" fontId="63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8" fontId="0" fillId="0" borderId="12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63" fillId="0" borderId="25" xfId="0" applyFont="1" applyBorder="1" applyAlignment="1">
      <alignment/>
    </xf>
    <xf numFmtId="0" fontId="0" fillId="0" borderId="10" xfId="0" applyBorder="1" applyAlignment="1">
      <alignment/>
    </xf>
    <xf numFmtId="180" fontId="0" fillId="0" borderId="10" xfId="44" applyNumberFormat="1" applyFon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6" fontId="63" fillId="0" borderId="10" xfId="0" applyNumberFormat="1" applyFont="1" applyBorder="1" applyAlignment="1">
      <alignment/>
    </xf>
    <xf numFmtId="6" fontId="0" fillId="0" borderId="26" xfId="0" applyNumberFormat="1" applyBorder="1" applyAlignment="1">
      <alignment/>
    </xf>
    <xf numFmtId="6" fontId="0" fillId="0" borderId="0" xfId="0" applyNumberFormat="1" applyAlignment="1">
      <alignment/>
    </xf>
    <xf numFmtId="6" fontId="6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6" fontId="0" fillId="0" borderId="10" xfId="0" applyNumberFormat="1" applyBorder="1" applyAlignment="1">
      <alignment horizontal="center"/>
    </xf>
    <xf numFmtId="6" fontId="63" fillId="0" borderId="10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6" fontId="63" fillId="0" borderId="10" xfId="0" applyNumberFormat="1" applyFont="1" applyBorder="1" applyAlignment="1">
      <alignment/>
    </xf>
    <xf numFmtId="6" fontId="6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6" fontId="63" fillId="0" borderId="26" xfId="0" applyNumberFormat="1" applyFont="1" applyBorder="1" applyAlignment="1">
      <alignment/>
    </xf>
    <xf numFmtId="180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center"/>
    </xf>
    <xf numFmtId="0" fontId="0" fillId="0" borderId="25" xfId="0" applyBorder="1" applyAlignment="1">
      <alignment/>
    </xf>
    <xf numFmtId="6" fontId="66" fillId="0" borderId="10" xfId="0" applyNumberFormat="1" applyFont="1" applyBorder="1" applyAlignment="1">
      <alignment/>
    </xf>
    <xf numFmtId="180" fontId="0" fillId="0" borderId="10" xfId="0" applyNumberFormat="1" applyBorder="1" applyAlignment="1">
      <alignment horizontal="center"/>
    </xf>
    <xf numFmtId="0" fontId="63" fillId="0" borderId="25" xfId="0" applyFont="1" applyBorder="1" applyAlignment="1">
      <alignment/>
    </xf>
    <xf numFmtId="180" fontId="63" fillId="0" borderId="10" xfId="44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66" fillId="0" borderId="25" xfId="0" applyFont="1" applyBorder="1" applyAlignment="1">
      <alignment/>
    </xf>
    <xf numFmtId="0" fontId="63" fillId="0" borderId="27" xfId="0" applyFont="1" applyBorder="1" applyAlignment="1">
      <alignment/>
    </xf>
    <xf numFmtId="0" fontId="6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8" fontId="0" fillId="0" borderId="14" xfId="0" applyNumberFormat="1" applyBorder="1" applyAlignment="1">
      <alignment horizontal="center"/>
    </xf>
    <xf numFmtId="6" fontId="0" fillId="0" borderId="14" xfId="0" applyNumberFormat="1" applyBorder="1" applyAlignment="1">
      <alignment horizontal="center"/>
    </xf>
    <xf numFmtId="6" fontId="6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14" fontId="63" fillId="0" borderId="0" xfId="0" applyNumberFormat="1" applyFont="1" applyAlignment="1">
      <alignment/>
    </xf>
    <xf numFmtId="6" fontId="63" fillId="0" borderId="0" xfId="0" applyNumberFormat="1" applyFont="1" applyAlignment="1">
      <alignment horizontal="center"/>
    </xf>
    <xf numFmtId="6" fontId="63" fillId="0" borderId="0" xfId="0" applyNumberFormat="1" applyFont="1" applyAlignment="1">
      <alignment horizontal="center"/>
    </xf>
    <xf numFmtId="6" fontId="0" fillId="0" borderId="12" xfId="0" applyNumberFormat="1" applyBorder="1" applyAlignment="1">
      <alignment/>
    </xf>
    <xf numFmtId="6" fontId="0" fillId="0" borderId="10" xfId="0" applyNumberFormat="1" applyBorder="1" applyAlignment="1">
      <alignment/>
    </xf>
    <xf numFmtId="0" fontId="66" fillId="0" borderId="27" xfId="0" applyFont="1" applyBorder="1" applyAlignment="1">
      <alignment/>
    </xf>
    <xf numFmtId="6" fontId="63" fillId="0" borderId="14" xfId="0" applyNumberFormat="1" applyFont="1" applyBorder="1" applyAlignment="1">
      <alignment/>
    </xf>
    <xf numFmtId="6" fontId="63" fillId="0" borderId="28" xfId="0" applyNumberFormat="1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 horizontal="center"/>
    </xf>
    <xf numFmtId="6" fontId="67" fillId="0" borderId="0" xfId="0" applyNumberFormat="1" applyFont="1" applyAlignment="1">
      <alignment/>
    </xf>
    <xf numFmtId="0" fontId="70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6" fontId="67" fillId="0" borderId="0" xfId="0" applyNumberFormat="1" applyFont="1" applyAlignment="1">
      <alignment/>
    </xf>
    <xf numFmtId="6" fontId="7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74" fillId="0" borderId="0" xfId="0" applyFont="1" applyAlignment="1">
      <alignment/>
    </xf>
    <xf numFmtId="37" fontId="41" fillId="0" borderId="0" xfId="0" applyNumberFormat="1" applyFont="1" applyAlignment="1">
      <alignment/>
    </xf>
    <xf numFmtId="0" fontId="68" fillId="0" borderId="0" xfId="0" applyFont="1" applyAlignment="1">
      <alignment/>
    </xf>
    <xf numFmtId="6" fontId="73" fillId="0" borderId="0" xfId="0" applyNumberFormat="1" applyFont="1" applyAlignment="1">
      <alignment/>
    </xf>
    <xf numFmtId="6" fontId="75" fillId="0" borderId="0" xfId="0" applyNumberFormat="1" applyFont="1" applyAlignment="1">
      <alignment/>
    </xf>
    <xf numFmtId="6" fontId="70" fillId="0" borderId="0" xfId="0" applyNumberFormat="1" applyFont="1" applyAlignment="1">
      <alignment/>
    </xf>
    <xf numFmtId="6" fontId="76" fillId="0" borderId="0" xfId="0" applyNumberFormat="1" applyFont="1" applyAlignment="1">
      <alignment/>
    </xf>
    <xf numFmtId="6" fontId="72" fillId="0" borderId="0" xfId="0" applyNumberFormat="1" applyFont="1" applyAlignment="1">
      <alignment/>
    </xf>
    <xf numFmtId="6" fontId="70" fillId="0" borderId="0" xfId="0" applyNumberFormat="1" applyFont="1" applyAlignment="1">
      <alignment/>
    </xf>
    <xf numFmtId="8" fontId="67" fillId="0" borderId="0" xfId="0" applyNumberFormat="1" applyFont="1" applyAlignment="1">
      <alignment/>
    </xf>
    <xf numFmtId="37" fontId="41" fillId="0" borderId="29" xfId="0" applyNumberFormat="1" applyFont="1" applyBorder="1" applyAlignment="1">
      <alignment/>
    </xf>
    <xf numFmtId="9" fontId="67" fillId="0" borderId="0" xfId="60" applyFont="1" applyAlignment="1">
      <alignment/>
    </xf>
    <xf numFmtId="9" fontId="67" fillId="0" borderId="0" xfId="0" applyNumberFormat="1" applyFont="1" applyAlignment="1">
      <alignment/>
    </xf>
    <xf numFmtId="6" fontId="70" fillId="0" borderId="0" xfId="0" applyNumberFormat="1" applyFont="1" applyAlignment="1">
      <alignment horizontal="center"/>
    </xf>
    <xf numFmtId="6" fontId="73" fillId="0" borderId="0" xfId="0" applyNumberFormat="1" applyFont="1" applyAlignment="1">
      <alignment horizontal="left"/>
    </xf>
    <xf numFmtId="6" fontId="70" fillId="0" borderId="0" xfId="0" applyNumberFormat="1" applyFont="1" applyAlignment="1">
      <alignment horizontal="left"/>
    </xf>
    <xf numFmtId="6" fontId="0" fillId="0" borderId="0" xfId="0" applyNumberFormat="1" applyAlignment="1">
      <alignment/>
    </xf>
    <xf numFmtId="0" fontId="70" fillId="0" borderId="0" xfId="0" applyFont="1" applyAlignment="1">
      <alignment/>
    </xf>
    <xf numFmtId="0" fontId="67" fillId="0" borderId="0" xfId="0" applyFont="1" applyAlignment="1">
      <alignment/>
    </xf>
    <xf numFmtId="6" fontId="67" fillId="0" borderId="0" xfId="0" applyNumberFormat="1" applyFont="1" applyAlignment="1">
      <alignment horizontal="left"/>
    </xf>
    <xf numFmtId="2" fontId="67" fillId="0" borderId="0" xfId="45" applyNumberFormat="1" applyFont="1" applyAlignment="1">
      <alignment/>
    </xf>
    <xf numFmtId="0" fontId="0" fillId="0" borderId="0" xfId="0" applyAlignment="1">
      <alignment horizontal="left"/>
    </xf>
    <xf numFmtId="0" fontId="77" fillId="0" borderId="0" xfId="0" applyFont="1" applyAlignment="1">
      <alignment/>
    </xf>
    <xf numFmtId="14" fontId="77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2" fontId="0" fillId="0" borderId="10" xfId="0" applyNumberFormat="1" applyBorder="1" applyAlignment="1">
      <alignment/>
    </xf>
    <xf numFmtId="2" fontId="67" fillId="0" borderId="0" xfId="45" applyNumberFormat="1" applyFont="1" applyAlignment="1">
      <alignment/>
    </xf>
    <xf numFmtId="0" fontId="6" fillId="32" borderId="10" xfId="0" applyFont="1" applyFill="1" applyBorder="1" applyAlignment="1">
      <alignment horizontal="lef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91" fontId="70" fillId="0" borderId="0" xfId="60" applyNumberFormat="1" applyFont="1" applyAlignment="1">
      <alignment/>
    </xf>
    <xf numFmtId="6" fontId="0" fillId="0" borderId="0" xfId="0" applyNumberFormat="1" applyAlignment="1">
      <alignment/>
    </xf>
    <xf numFmtId="14" fontId="6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3" fillId="0" borderId="26" xfId="0" applyFont="1" applyBorder="1" applyAlignment="1">
      <alignment horizontal="center"/>
    </xf>
    <xf numFmtId="180" fontId="0" fillId="0" borderId="26" xfId="44" applyNumberFormat="1" applyFont="1" applyBorder="1" applyAlignment="1">
      <alignment/>
    </xf>
    <xf numFmtId="6" fontId="0" fillId="0" borderId="26" xfId="0" applyNumberFormat="1" applyBorder="1" applyAlignment="1">
      <alignment horizontal="right"/>
    </xf>
    <xf numFmtId="8" fontId="63" fillId="0" borderId="0" xfId="0" applyNumberFormat="1" applyFont="1" applyAlignment="1">
      <alignment horizontal="center"/>
    </xf>
    <xf numFmtId="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38" fontId="63" fillId="0" borderId="10" xfId="0" applyNumberFormat="1" applyFont="1" applyBorder="1" applyAlignment="1">
      <alignment/>
    </xf>
    <xf numFmtId="40" fontId="63" fillId="0" borderId="10" xfId="0" applyNumberFormat="1" applyFont="1" applyBorder="1" applyAlignment="1">
      <alignment/>
    </xf>
    <xf numFmtId="9" fontId="73" fillId="0" borderId="0" xfId="60" applyFont="1" applyAlignment="1">
      <alignment/>
    </xf>
    <xf numFmtId="9" fontId="67" fillId="0" borderId="0" xfId="60" applyFont="1" applyAlignment="1">
      <alignment/>
    </xf>
    <xf numFmtId="0" fontId="71" fillId="0" borderId="0" xfId="0" applyFont="1" applyAlignment="1">
      <alignment/>
    </xf>
    <xf numFmtId="8" fontId="70" fillId="0" borderId="0" xfId="0" applyNumberFormat="1" applyFont="1" applyAlignment="1">
      <alignment horizontal="center"/>
    </xf>
    <xf numFmtId="6" fontId="67" fillId="0" borderId="0" xfId="0" applyNumberFormat="1" applyFont="1" applyAlignment="1">
      <alignment/>
    </xf>
    <xf numFmtId="6" fontId="73" fillId="0" borderId="0" xfId="0" applyNumberFormat="1" applyFont="1" applyAlignment="1">
      <alignment/>
    </xf>
    <xf numFmtId="0" fontId="67" fillId="0" borderId="0" xfId="0" applyFont="1" applyAlignment="1">
      <alignment horizontal="right"/>
    </xf>
    <xf numFmtId="6" fontId="41" fillId="0" borderId="0" xfId="0" applyNumberFormat="1" applyFont="1" applyAlignment="1">
      <alignment/>
    </xf>
    <xf numFmtId="6" fontId="4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70" fillId="0" borderId="0" xfId="0" applyFont="1" applyAlignment="1">
      <alignment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wrapText="1"/>
    </xf>
    <xf numFmtId="6" fontId="0" fillId="0" borderId="10" xfId="0" applyNumberFormat="1" applyBorder="1" applyAlignment="1">
      <alignment/>
    </xf>
    <xf numFmtId="8" fontId="0" fillId="0" borderId="10" xfId="0" applyNumberFormat="1" applyBorder="1" applyAlignment="1">
      <alignment/>
    </xf>
    <xf numFmtId="178" fontId="8" fillId="0" borderId="10" xfId="0" applyNumberFormat="1" applyFont="1" applyBorder="1" applyAlignment="1">
      <alignment horizontal="right"/>
    </xf>
    <xf numFmtId="38" fontId="41" fillId="0" borderId="0" xfId="0" applyNumberFormat="1" applyFont="1" applyAlignment="1">
      <alignment/>
    </xf>
    <xf numFmtId="0" fontId="66" fillId="0" borderId="0" xfId="0" applyFont="1" applyAlignment="1">
      <alignment/>
    </xf>
    <xf numFmtId="8" fontId="70" fillId="0" borderId="0" xfId="0" applyNumberFormat="1" applyFont="1" applyAlignment="1">
      <alignment/>
    </xf>
    <xf numFmtId="8" fontId="7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6" fontId="63" fillId="33" borderId="0" xfId="0" applyNumberFormat="1" applyFont="1" applyFill="1" applyAlignment="1">
      <alignment horizontal="center"/>
    </xf>
    <xf numFmtId="6" fontId="0" fillId="33" borderId="12" xfId="0" applyNumberFormat="1" applyFill="1" applyBorder="1" applyAlignment="1">
      <alignment/>
    </xf>
    <xf numFmtId="6" fontId="0" fillId="33" borderId="10" xfId="0" applyNumberFormat="1" applyFill="1" applyBorder="1" applyAlignment="1">
      <alignment/>
    </xf>
    <xf numFmtId="6" fontId="0" fillId="33" borderId="10" xfId="0" applyNumberFormat="1" applyFill="1" applyBorder="1" applyAlignment="1">
      <alignment horizontal="right"/>
    </xf>
    <xf numFmtId="6" fontId="63" fillId="33" borderId="10" xfId="0" applyNumberFormat="1" applyFont="1" applyFill="1" applyBorder="1" applyAlignment="1">
      <alignment/>
    </xf>
    <xf numFmtId="6" fontId="63" fillId="33" borderId="14" xfId="0" applyNumberFormat="1" applyFont="1" applyFill="1" applyBorder="1" applyAlignment="1">
      <alignment/>
    </xf>
    <xf numFmtId="6" fontId="63" fillId="34" borderId="0" xfId="0" applyNumberFormat="1" applyFont="1" applyFill="1" applyAlignment="1">
      <alignment horizontal="center"/>
    </xf>
    <xf numFmtId="6" fontId="0" fillId="34" borderId="12" xfId="0" applyNumberFormat="1" applyFill="1" applyBorder="1" applyAlignment="1">
      <alignment/>
    </xf>
    <xf numFmtId="6" fontId="0" fillId="34" borderId="10" xfId="0" applyNumberFormat="1" applyFill="1" applyBorder="1" applyAlignment="1">
      <alignment/>
    </xf>
    <xf numFmtId="6" fontId="0" fillId="34" borderId="10" xfId="0" applyNumberFormat="1" applyFill="1" applyBorder="1" applyAlignment="1">
      <alignment horizontal="right"/>
    </xf>
    <xf numFmtId="6" fontId="63" fillId="34" borderId="10" xfId="0" applyNumberFormat="1" applyFont="1" applyFill="1" applyBorder="1" applyAlignment="1">
      <alignment/>
    </xf>
    <xf numFmtId="6" fontId="63" fillId="34" borderId="14" xfId="0" applyNumberFormat="1" applyFont="1" applyFill="1" applyBorder="1" applyAlignment="1">
      <alignment/>
    </xf>
    <xf numFmtId="6" fontId="0" fillId="33" borderId="10" xfId="0" applyNumberFormat="1" applyFill="1" applyBorder="1" applyAlignment="1">
      <alignment horizontal="center"/>
    </xf>
    <xf numFmtId="6" fontId="0" fillId="34" borderId="10" xfId="0" applyNumberFormat="1" applyFill="1" applyBorder="1" applyAlignment="1">
      <alignment horizontal="center"/>
    </xf>
    <xf numFmtId="6" fontId="1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80" zoomScaleNormal="80" zoomScalePageLayoutView="0" workbookViewId="0" topLeftCell="A1">
      <selection activeCell="A43" sqref="A43"/>
    </sheetView>
  </sheetViews>
  <sheetFormatPr defaultColWidth="9.140625" defaultRowHeight="15"/>
  <cols>
    <col min="1" max="1" width="16.7109375" style="0" customWidth="1"/>
    <col min="2" max="2" width="22.8515625" style="0" customWidth="1"/>
    <col min="3" max="3" width="12.28125" style="0" customWidth="1"/>
    <col min="5" max="6" width="12.7109375" style="0" customWidth="1"/>
    <col min="7" max="7" width="25.7109375" style="0" customWidth="1"/>
    <col min="8" max="10" width="12.7109375" style="0" customWidth="1"/>
    <col min="11" max="11" width="14.421875" style="0" customWidth="1"/>
    <col min="12" max="12" width="16.140625" style="0" customWidth="1"/>
    <col min="13" max="13" width="16.00390625" style="0" customWidth="1"/>
    <col min="14" max="14" width="14.28125" style="0" customWidth="1"/>
    <col min="15" max="15" width="17.28125" style="0" customWidth="1"/>
    <col min="16" max="16" width="11.421875" style="0" bestFit="1" customWidth="1"/>
    <col min="18" max="18" width="11.8515625" style="0" customWidth="1"/>
    <col min="19" max="19" width="12.140625" style="0" customWidth="1"/>
  </cols>
  <sheetData>
    <row r="1" spans="1:9" ht="30">
      <c r="A1" s="191" t="s">
        <v>41</v>
      </c>
      <c r="H1" s="21"/>
      <c r="I1" s="21"/>
    </row>
    <row r="2" spans="1:15" ht="18">
      <c r="A2" s="1" t="s">
        <v>42</v>
      </c>
      <c r="H2" s="21"/>
      <c r="I2" s="21"/>
      <c r="J2" s="21"/>
      <c r="O2" s="147"/>
    </row>
    <row r="3" spans="1:15" ht="18">
      <c r="A3" s="1"/>
      <c r="H3" s="37"/>
      <c r="I3" s="21"/>
      <c r="J3" s="21"/>
      <c r="K3" s="21"/>
      <c r="L3" s="21"/>
      <c r="O3" s="147"/>
    </row>
    <row r="4" spans="1:12" ht="14.25" thickBot="1">
      <c r="A4" s="2"/>
      <c r="H4" s="38"/>
      <c r="I4" s="21"/>
      <c r="J4" s="21"/>
      <c r="K4" s="21"/>
      <c r="L4" s="21"/>
    </row>
    <row r="5" spans="1:16" ht="28.5">
      <c r="A5" s="6" t="s">
        <v>0</v>
      </c>
      <c r="B5" s="7" t="s">
        <v>1</v>
      </c>
      <c r="C5" s="8" t="s">
        <v>2</v>
      </c>
      <c r="D5" s="209" t="s">
        <v>33</v>
      </c>
      <c r="E5" s="210"/>
      <c r="F5" s="19" t="s">
        <v>37</v>
      </c>
      <c r="G5" s="7" t="s">
        <v>5</v>
      </c>
      <c r="H5" s="211" t="s">
        <v>217</v>
      </c>
      <c r="I5" s="211"/>
      <c r="J5" s="211"/>
      <c r="K5" s="211" t="s">
        <v>218</v>
      </c>
      <c r="L5" s="211"/>
      <c r="M5" s="211"/>
      <c r="N5" s="8" t="s">
        <v>219</v>
      </c>
      <c r="O5" s="9" t="s">
        <v>238</v>
      </c>
      <c r="P5" s="9" t="s">
        <v>43</v>
      </c>
    </row>
    <row r="6" spans="1:16" ht="28.5" thickBot="1">
      <c r="A6" s="12"/>
      <c r="B6" s="13"/>
      <c r="C6" s="14"/>
      <c r="D6" s="17" t="s">
        <v>3</v>
      </c>
      <c r="E6" s="14" t="s">
        <v>4</v>
      </c>
      <c r="F6" s="11" t="s">
        <v>38</v>
      </c>
      <c r="G6" s="13"/>
      <c r="H6" s="10" t="s">
        <v>33</v>
      </c>
      <c r="I6" s="11" t="s">
        <v>34</v>
      </c>
      <c r="J6" s="11" t="s">
        <v>32</v>
      </c>
      <c r="K6" s="11" t="s">
        <v>33</v>
      </c>
      <c r="L6" s="11" t="s">
        <v>34</v>
      </c>
      <c r="M6" s="11" t="s">
        <v>32</v>
      </c>
      <c r="N6" s="15"/>
      <c r="O6" s="16"/>
      <c r="P6" s="11"/>
    </row>
    <row r="7" spans="1:15" ht="14.25">
      <c r="A7" s="31" t="s">
        <v>41</v>
      </c>
      <c r="B7" s="24"/>
      <c r="C7" s="25"/>
      <c r="D7" s="26"/>
      <c r="E7" s="25"/>
      <c r="F7" s="27"/>
      <c r="G7" s="24"/>
      <c r="H7" s="28"/>
      <c r="I7" s="27"/>
      <c r="J7" s="27"/>
      <c r="K7" s="27"/>
      <c r="L7" s="27"/>
      <c r="M7" s="27"/>
      <c r="N7" s="29"/>
      <c r="O7" s="30"/>
    </row>
    <row r="8" spans="1:16" ht="14.25">
      <c r="A8" s="161">
        <v>6430212032</v>
      </c>
      <c r="B8" s="161" t="s">
        <v>23</v>
      </c>
      <c r="C8" s="161" t="s">
        <v>24</v>
      </c>
      <c r="D8" s="18">
        <f>E8/43560</f>
        <v>0.16161616161616163</v>
      </c>
      <c r="E8" s="18">
        <v>7040</v>
      </c>
      <c r="F8" s="18">
        <v>2476</v>
      </c>
      <c r="G8" s="4" t="s">
        <v>204</v>
      </c>
      <c r="H8" s="184">
        <v>28864</v>
      </c>
      <c r="I8" s="184">
        <v>170019</v>
      </c>
      <c r="J8" s="184">
        <f>SUM(H8:I8)</f>
        <v>198883</v>
      </c>
      <c r="K8" s="184">
        <v>8370</v>
      </c>
      <c r="L8" s="184">
        <v>49310</v>
      </c>
      <c r="M8" s="184">
        <f>SUM(K8:L8)</f>
        <v>57680</v>
      </c>
      <c r="N8" s="184">
        <v>4232.27</v>
      </c>
      <c r="O8" s="184">
        <v>635000</v>
      </c>
      <c r="P8" s="185">
        <f>O8/E8</f>
        <v>90.19886363636364</v>
      </c>
    </row>
    <row r="9" spans="1:16" ht="14.25">
      <c r="A9" s="161">
        <v>6430212035</v>
      </c>
      <c r="B9" s="161" t="s">
        <v>31</v>
      </c>
      <c r="C9" s="151" t="s">
        <v>8</v>
      </c>
      <c r="D9" s="152">
        <v>0.678604</v>
      </c>
      <c r="E9" s="151">
        <v>29560</v>
      </c>
      <c r="F9" s="151">
        <v>18260</v>
      </c>
      <c r="G9" s="153" t="s">
        <v>204</v>
      </c>
      <c r="H9" s="154">
        <v>75378</v>
      </c>
      <c r="I9" s="154">
        <v>468686</v>
      </c>
      <c r="J9" s="154">
        <f aca="true" t="shared" si="0" ref="J9:J27">SUM(H9:I9)</f>
        <v>544064</v>
      </c>
      <c r="K9" s="154">
        <v>21860</v>
      </c>
      <c r="L9" s="154">
        <v>135920</v>
      </c>
      <c r="M9" s="155">
        <f aca="true" t="shared" si="1" ref="M9:M27">SUM(K9:L9)</f>
        <v>157780</v>
      </c>
      <c r="N9" s="155">
        <v>19623.89</v>
      </c>
      <c r="O9" s="155">
        <f>P9*SUM(E9:E12)</f>
        <v>6686953.452544705</v>
      </c>
      <c r="P9" s="156">
        <f>(SUM(O8+O15))/(SUM(E8+E15))</f>
        <v>59.88995873452545</v>
      </c>
    </row>
    <row r="10" spans="1:16" ht="14.25">
      <c r="A10" s="161">
        <v>6430212023</v>
      </c>
      <c r="B10" s="161" t="s">
        <v>20</v>
      </c>
      <c r="C10" s="161" t="s">
        <v>7</v>
      </c>
      <c r="D10" s="61">
        <f>E10/43560</f>
        <v>0.16069788797061524</v>
      </c>
      <c r="E10" s="61">
        <v>7000</v>
      </c>
      <c r="F10" s="61">
        <v>1055</v>
      </c>
      <c r="G10" s="153" t="s">
        <v>204</v>
      </c>
      <c r="H10" s="154">
        <v>33600</v>
      </c>
      <c r="I10" s="154">
        <v>161777</v>
      </c>
      <c r="J10" s="154">
        <f t="shared" si="0"/>
        <v>195377</v>
      </c>
      <c r="K10" s="154">
        <v>2420</v>
      </c>
      <c r="L10" s="154">
        <v>11650</v>
      </c>
      <c r="M10" s="155">
        <f t="shared" si="1"/>
        <v>14070</v>
      </c>
      <c r="N10" s="155">
        <v>1032.39</v>
      </c>
      <c r="O10" s="157" t="s">
        <v>36</v>
      </c>
      <c r="P10" s="156"/>
    </row>
    <row r="11" spans="1:16" ht="14.25">
      <c r="A11" s="161">
        <v>6430212036</v>
      </c>
      <c r="B11" s="161" t="s">
        <v>29</v>
      </c>
      <c r="C11" s="151" t="s">
        <v>8</v>
      </c>
      <c r="D11" s="152">
        <v>1.15</v>
      </c>
      <c r="E11" s="151">
        <v>50094</v>
      </c>
      <c r="F11" s="151">
        <v>3848</v>
      </c>
      <c r="G11" s="153" t="s">
        <v>204</v>
      </c>
      <c r="H11" s="154">
        <v>100188</v>
      </c>
      <c r="I11" s="154">
        <v>458053</v>
      </c>
      <c r="J11" s="154">
        <f t="shared" si="0"/>
        <v>558241</v>
      </c>
      <c r="K11" s="154">
        <v>29050</v>
      </c>
      <c r="L11" s="154">
        <v>132830</v>
      </c>
      <c r="M11" s="155">
        <f t="shared" si="1"/>
        <v>161880</v>
      </c>
      <c r="N11" s="155">
        <v>20133.83</v>
      </c>
      <c r="O11" s="157" t="s">
        <v>36</v>
      </c>
      <c r="P11" s="156"/>
    </row>
    <row r="12" spans="1:16" ht="14.25">
      <c r="A12" s="161">
        <v>6430212037</v>
      </c>
      <c r="B12" s="161" t="s">
        <v>28</v>
      </c>
      <c r="C12" s="151" t="s">
        <v>8</v>
      </c>
      <c r="D12" s="152">
        <f>E12/43560</f>
        <v>0.573921028466483</v>
      </c>
      <c r="E12" s="151">
        <v>25000</v>
      </c>
      <c r="F12" s="151">
        <v>1244</v>
      </c>
      <c r="G12" s="153" t="s">
        <v>204</v>
      </c>
      <c r="H12" s="154">
        <v>63750</v>
      </c>
      <c r="I12" s="154">
        <v>108470</v>
      </c>
      <c r="J12" s="154">
        <f t="shared" si="0"/>
        <v>172220</v>
      </c>
      <c r="K12" s="154">
        <v>18490</v>
      </c>
      <c r="L12" s="154">
        <v>31460</v>
      </c>
      <c r="M12" s="155">
        <f t="shared" si="1"/>
        <v>49950</v>
      </c>
      <c r="N12" s="155">
        <v>6212.53</v>
      </c>
      <c r="O12" s="157" t="s">
        <v>36</v>
      </c>
      <c r="P12" s="156"/>
    </row>
    <row r="13" spans="1:16" ht="14.25">
      <c r="A13" s="161">
        <v>6430212019</v>
      </c>
      <c r="B13" s="161" t="s">
        <v>30</v>
      </c>
      <c r="C13" s="151" t="s">
        <v>8</v>
      </c>
      <c r="D13" s="152">
        <v>0.126263</v>
      </c>
      <c r="E13" s="151">
        <v>5500</v>
      </c>
      <c r="F13" s="151">
        <v>3930</v>
      </c>
      <c r="G13" s="153" t="s">
        <v>204</v>
      </c>
      <c r="H13" s="154">
        <v>14025</v>
      </c>
      <c r="I13" s="154">
        <v>117684</v>
      </c>
      <c r="J13" s="154">
        <f t="shared" si="0"/>
        <v>131709</v>
      </c>
      <c r="K13" s="154">
        <v>4070</v>
      </c>
      <c r="L13" s="154">
        <v>34130</v>
      </c>
      <c r="M13" s="155">
        <f t="shared" si="1"/>
        <v>38200</v>
      </c>
      <c r="N13" s="155">
        <v>4751.13</v>
      </c>
      <c r="O13" s="20">
        <f>P13*E13</f>
        <v>233844.8359445583</v>
      </c>
      <c r="P13" s="156">
        <f>SUM(O14+O16+SUM(O17:O27))/SUM(E14+E16+SUM(E17:E27))</f>
        <v>42.5172428990106</v>
      </c>
    </row>
    <row r="14" spans="1:18" ht="14.25">
      <c r="A14" s="161">
        <v>6430212005</v>
      </c>
      <c r="B14" s="161" t="s">
        <v>18</v>
      </c>
      <c r="C14" s="161" t="s">
        <v>19</v>
      </c>
      <c r="D14" s="3">
        <f aca="true" t="shared" si="2" ref="D14:D27">E14/43560</f>
        <v>0.5050505050505051</v>
      </c>
      <c r="E14" s="3">
        <v>22000</v>
      </c>
      <c r="F14" s="3"/>
      <c r="G14" s="4" t="s">
        <v>204</v>
      </c>
      <c r="H14" s="3">
        <v>68200</v>
      </c>
      <c r="I14" s="3">
        <v>0</v>
      </c>
      <c r="J14" s="5">
        <f t="shared" si="0"/>
        <v>68200</v>
      </c>
      <c r="K14" s="3">
        <v>19780</v>
      </c>
      <c r="L14" s="5">
        <v>0</v>
      </c>
      <c r="M14" s="20">
        <f t="shared" si="1"/>
        <v>19780</v>
      </c>
      <c r="N14" s="20">
        <v>1451.36</v>
      </c>
      <c r="O14" s="20">
        <v>260000</v>
      </c>
      <c r="P14" s="148">
        <f>O14/E14</f>
        <v>11.818181818181818</v>
      </c>
      <c r="R14" s="42"/>
    </row>
    <row r="15" spans="1:18" ht="14.25">
      <c r="A15" s="161">
        <v>6430212022</v>
      </c>
      <c r="B15" s="161" t="s">
        <v>21</v>
      </c>
      <c r="C15" s="161" t="s">
        <v>8</v>
      </c>
      <c r="D15" s="18">
        <f t="shared" si="2"/>
        <v>0.1721763085399449</v>
      </c>
      <c r="E15" s="18">
        <v>7500</v>
      </c>
      <c r="F15" s="18">
        <v>1440</v>
      </c>
      <c r="G15" s="4" t="s">
        <v>204</v>
      </c>
      <c r="H15" s="20">
        <v>29250</v>
      </c>
      <c r="I15" s="20">
        <v>121640</v>
      </c>
      <c r="J15" s="20">
        <f t="shared" si="0"/>
        <v>150890</v>
      </c>
      <c r="K15" s="20">
        <v>4100</v>
      </c>
      <c r="L15" s="20">
        <v>22020</v>
      </c>
      <c r="M15" s="20">
        <f t="shared" si="1"/>
        <v>26120</v>
      </c>
      <c r="N15" s="20">
        <v>1916.56</v>
      </c>
      <c r="O15" s="20">
        <f>(393000/(E15+E16))*E15</f>
        <v>235800</v>
      </c>
      <c r="P15" s="148">
        <f>O15/E15</f>
        <v>31.44</v>
      </c>
      <c r="R15" s="42"/>
    </row>
    <row r="16" spans="1:18" ht="14.25">
      <c r="A16" s="161">
        <v>6430212020</v>
      </c>
      <c r="B16" s="161" t="s">
        <v>22</v>
      </c>
      <c r="C16" s="161" t="s">
        <v>7</v>
      </c>
      <c r="D16" s="18">
        <f t="shared" si="2"/>
        <v>0.1147842056932966</v>
      </c>
      <c r="E16" s="18">
        <v>5000</v>
      </c>
      <c r="F16" s="18">
        <v>848</v>
      </c>
      <c r="G16" s="4" t="s">
        <v>204</v>
      </c>
      <c r="H16" s="20">
        <v>28000</v>
      </c>
      <c r="I16" s="20">
        <v>129008</v>
      </c>
      <c r="J16" s="20">
        <f t="shared" si="0"/>
        <v>157008</v>
      </c>
      <c r="K16" s="20">
        <v>2020</v>
      </c>
      <c r="L16" s="20">
        <v>9290</v>
      </c>
      <c r="M16" s="20">
        <f t="shared" si="1"/>
        <v>11310</v>
      </c>
      <c r="N16" s="20">
        <v>829.87</v>
      </c>
      <c r="O16" s="20">
        <f>(393000/(E15+E16))*E16</f>
        <v>157200</v>
      </c>
      <c r="P16" s="148">
        <f>O16/E16</f>
        <v>31.44</v>
      </c>
      <c r="R16" s="42"/>
    </row>
    <row r="17" spans="1:18" ht="14.25">
      <c r="A17" s="161">
        <v>6430213003</v>
      </c>
      <c r="B17" s="161" t="s">
        <v>25</v>
      </c>
      <c r="C17" s="161" t="s">
        <v>26</v>
      </c>
      <c r="D17" s="18">
        <f t="shared" si="2"/>
        <v>0.25252525252525254</v>
      </c>
      <c r="E17" s="18">
        <v>11000</v>
      </c>
      <c r="F17" s="18">
        <v>5872</v>
      </c>
      <c r="G17" s="4" t="s">
        <v>204</v>
      </c>
      <c r="H17" s="20">
        <v>34100</v>
      </c>
      <c r="I17" s="20">
        <v>316561</v>
      </c>
      <c r="J17" s="20">
        <f t="shared" si="0"/>
        <v>350661</v>
      </c>
      <c r="K17" s="20">
        <v>2460</v>
      </c>
      <c r="L17" s="20">
        <v>22790</v>
      </c>
      <c r="M17" s="20">
        <f t="shared" si="1"/>
        <v>25250</v>
      </c>
      <c r="N17" s="20">
        <v>1877.97</v>
      </c>
      <c r="O17" s="168" t="s">
        <v>36</v>
      </c>
      <c r="P17" s="148"/>
      <c r="R17" s="42"/>
    </row>
    <row r="18" spans="1:18" ht="14.25">
      <c r="A18" s="161">
        <v>6430213001</v>
      </c>
      <c r="B18" s="161" t="s">
        <v>9</v>
      </c>
      <c r="C18" s="161" t="s">
        <v>19</v>
      </c>
      <c r="D18" s="18">
        <f t="shared" si="2"/>
        <v>0.18365472910927455</v>
      </c>
      <c r="E18" s="18">
        <v>8000</v>
      </c>
      <c r="F18" s="18"/>
      <c r="G18" s="4" t="s">
        <v>204</v>
      </c>
      <c r="H18" s="20">
        <v>26400</v>
      </c>
      <c r="I18" s="20">
        <v>0</v>
      </c>
      <c r="J18" s="20">
        <f t="shared" si="0"/>
        <v>26400</v>
      </c>
      <c r="K18" s="20">
        <v>7660</v>
      </c>
      <c r="L18" s="20">
        <v>0</v>
      </c>
      <c r="M18" s="20">
        <f t="shared" si="1"/>
        <v>7660</v>
      </c>
      <c r="N18" s="20">
        <v>562.05</v>
      </c>
      <c r="O18" s="39" t="s">
        <v>36</v>
      </c>
      <c r="P18" s="148"/>
      <c r="R18" s="42"/>
    </row>
    <row r="19" spans="1:18" ht="14.25">
      <c r="A19" s="161">
        <v>6430213002</v>
      </c>
      <c r="B19" s="161" t="s">
        <v>27</v>
      </c>
      <c r="C19" s="161" t="s">
        <v>26</v>
      </c>
      <c r="D19" s="18">
        <f t="shared" si="2"/>
        <v>0.19834710743801653</v>
      </c>
      <c r="E19" s="18">
        <v>8640</v>
      </c>
      <c r="F19" s="18">
        <v>3673</v>
      </c>
      <c r="G19" s="4" t="s">
        <v>204</v>
      </c>
      <c r="H19" s="20">
        <v>26784</v>
      </c>
      <c r="I19" s="20">
        <v>208536</v>
      </c>
      <c r="J19" s="20">
        <f t="shared" si="0"/>
        <v>235320</v>
      </c>
      <c r="K19" s="20">
        <v>1930</v>
      </c>
      <c r="L19" s="20">
        <v>15010</v>
      </c>
      <c r="M19" s="20">
        <f t="shared" si="1"/>
        <v>16940</v>
      </c>
      <c r="N19" s="20">
        <v>1259.91</v>
      </c>
      <c r="O19" s="20">
        <f>962000+27000</f>
        <v>989000</v>
      </c>
      <c r="P19" s="148">
        <f>O19/(E19+E18+E17)</f>
        <v>35.78147612156295</v>
      </c>
      <c r="R19" s="42"/>
    </row>
    <row r="20" spans="1:18" ht="14.25">
      <c r="A20" s="161">
        <v>6430212003</v>
      </c>
      <c r="B20" s="161" t="s">
        <v>10</v>
      </c>
      <c r="C20" s="161" t="s">
        <v>7</v>
      </c>
      <c r="D20" s="18">
        <f t="shared" si="2"/>
        <v>0.09182736455463728</v>
      </c>
      <c r="E20" s="18">
        <v>4000</v>
      </c>
      <c r="F20" s="18">
        <v>902</v>
      </c>
      <c r="G20" s="4" t="s">
        <v>204</v>
      </c>
      <c r="H20" s="20">
        <v>28000</v>
      </c>
      <c r="I20" s="20">
        <v>125347</v>
      </c>
      <c r="J20" s="20">
        <f t="shared" si="0"/>
        <v>153347</v>
      </c>
      <c r="K20" s="20">
        <v>2020</v>
      </c>
      <c r="L20" s="20">
        <v>9020</v>
      </c>
      <c r="M20" s="20">
        <f t="shared" si="1"/>
        <v>11040</v>
      </c>
      <c r="N20" s="20">
        <v>810.06</v>
      </c>
      <c r="O20" s="20">
        <v>176750</v>
      </c>
      <c r="P20" s="148">
        <f aca="true" t="shared" si="3" ref="P20:P28">O20/E20</f>
        <v>44.1875</v>
      </c>
      <c r="R20" s="42"/>
    </row>
    <row r="21" spans="1:18" ht="14.25">
      <c r="A21" s="161">
        <v>6430212007</v>
      </c>
      <c r="B21" s="161" t="s">
        <v>11</v>
      </c>
      <c r="C21" s="161" t="s">
        <v>7</v>
      </c>
      <c r="D21" s="18">
        <f t="shared" si="2"/>
        <v>0.09182736455463728</v>
      </c>
      <c r="E21" s="18">
        <v>4000</v>
      </c>
      <c r="F21" s="18">
        <v>936</v>
      </c>
      <c r="G21" s="4" t="s">
        <v>204</v>
      </c>
      <c r="H21" s="20">
        <v>28000</v>
      </c>
      <c r="I21" s="20">
        <v>136924</v>
      </c>
      <c r="J21" s="20">
        <f t="shared" si="0"/>
        <v>164924</v>
      </c>
      <c r="K21" s="20">
        <v>2020</v>
      </c>
      <c r="L21" s="18">
        <v>9860</v>
      </c>
      <c r="M21" s="20">
        <f t="shared" si="1"/>
        <v>11880</v>
      </c>
      <c r="N21" s="20">
        <v>871.7</v>
      </c>
      <c r="O21" s="20">
        <v>265000</v>
      </c>
      <c r="P21" s="148">
        <f t="shared" si="3"/>
        <v>66.25</v>
      </c>
      <c r="R21" s="42"/>
    </row>
    <row r="22" spans="1:18" ht="14.25">
      <c r="A22" s="161">
        <v>6430212010</v>
      </c>
      <c r="B22" s="161" t="s">
        <v>12</v>
      </c>
      <c r="C22" s="161" t="s">
        <v>7</v>
      </c>
      <c r="D22" s="18">
        <f t="shared" si="2"/>
        <v>0.09182736455463728</v>
      </c>
      <c r="E22" s="18">
        <v>4000</v>
      </c>
      <c r="F22" s="18">
        <v>815</v>
      </c>
      <c r="G22" s="4" t="s">
        <v>204</v>
      </c>
      <c r="H22" s="20">
        <v>28600</v>
      </c>
      <c r="I22" s="20">
        <v>136483</v>
      </c>
      <c r="J22" s="20">
        <f t="shared" si="0"/>
        <v>165083</v>
      </c>
      <c r="K22" s="20">
        <v>2060</v>
      </c>
      <c r="L22" s="20">
        <v>9830</v>
      </c>
      <c r="M22" s="20">
        <f t="shared" si="1"/>
        <v>11890</v>
      </c>
      <c r="N22" s="20">
        <v>872.43</v>
      </c>
      <c r="O22" s="20">
        <v>160000</v>
      </c>
      <c r="P22" s="148">
        <f t="shared" si="3"/>
        <v>40</v>
      </c>
      <c r="R22" s="42"/>
    </row>
    <row r="23" spans="1:18" ht="14.25">
      <c r="A23" s="161">
        <v>6430212012</v>
      </c>
      <c r="B23" s="161" t="s">
        <v>13</v>
      </c>
      <c r="C23" s="161" t="s">
        <v>7</v>
      </c>
      <c r="D23" s="18">
        <f t="shared" si="2"/>
        <v>0.09182736455463728</v>
      </c>
      <c r="E23" s="18">
        <v>4000</v>
      </c>
      <c r="F23" s="18">
        <v>1186</v>
      </c>
      <c r="G23" s="4" t="s">
        <v>204</v>
      </c>
      <c r="H23" s="20">
        <v>28000</v>
      </c>
      <c r="I23" s="20">
        <v>166424</v>
      </c>
      <c r="J23" s="20">
        <f t="shared" si="0"/>
        <v>194424</v>
      </c>
      <c r="K23" s="20">
        <v>2020</v>
      </c>
      <c r="L23" s="20">
        <v>11980</v>
      </c>
      <c r="M23" s="20">
        <f t="shared" si="1"/>
        <v>14000</v>
      </c>
      <c r="N23" s="20">
        <v>1027.25</v>
      </c>
      <c r="O23" s="20">
        <v>225000</v>
      </c>
      <c r="P23" s="148">
        <f t="shared" si="3"/>
        <v>56.25</v>
      </c>
      <c r="R23" s="42"/>
    </row>
    <row r="24" spans="1:18" ht="14.25">
      <c r="A24" s="161">
        <v>6430212013</v>
      </c>
      <c r="B24" s="161" t="s">
        <v>14</v>
      </c>
      <c r="C24" s="161" t="s">
        <v>7</v>
      </c>
      <c r="D24" s="18">
        <f t="shared" si="2"/>
        <v>0.09182736455463728</v>
      </c>
      <c r="E24" s="18">
        <v>4000</v>
      </c>
      <c r="F24" s="18">
        <v>1000</v>
      </c>
      <c r="G24" s="4" t="s">
        <v>204</v>
      </c>
      <c r="H24" s="20">
        <v>28000</v>
      </c>
      <c r="I24" s="20">
        <v>147622</v>
      </c>
      <c r="J24" s="20">
        <f t="shared" si="0"/>
        <v>175622</v>
      </c>
      <c r="K24" s="20">
        <v>2020</v>
      </c>
      <c r="L24" s="20">
        <v>10630</v>
      </c>
      <c r="M24" s="20">
        <f t="shared" si="1"/>
        <v>12650</v>
      </c>
      <c r="N24" s="20">
        <v>928.19</v>
      </c>
      <c r="O24" s="20">
        <v>259000</v>
      </c>
      <c r="P24" s="148">
        <f t="shared" si="3"/>
        <v>64.75</v>
      </c>
      <c r="R24" s="42"/>
    </row>
    <row r="25" spans="1:18" ht="14.25">
      <c r="A25" s="161">
        <v>6430212011</v>
      </c>
      <c r="B25" s="161" t="s">
        <v>15</v>
      </c>
      <c r="C25" s="161" t="s">
        <v>16</v>
      </c>
      <c r="D25" s="18">
        <f t="shared" si="2"/>
        <v>0.1423324150596878</v>
      </c>
      <c r="E25" s="18">
        <v>6200</v>
      </c>
      <c r="F25" s="18">
        <v>9552</v>
      </c>
      <c r="G25" s="4" t="s">
        <v>204</v>
      </c>
      <c r="H25" s="20">
        <v>36270</v>
      </c>
      <c r="I25" s="20">
        <v>597056</v>
      </c>
      <c r="J25" s="20">
        <f t="shared" si="0"/>
        <v>633326</v>
      </c>
      <c r="K25" s="20">
        <v>2610</v>
      </c>
      <c r="L25" s="20">
        <v>42990</v>
      </c>
      <c r="M25" s="20">
        <f t="shared" si="1"/>
        <v>45600</v>
      </c>
      <c r="N25" s="20">
        <v>3345.9</v>
      </c>
      <c r="O25" s="20">
        <f>843000+6000</f>
        <v>849000</v>
      </c>
      <c r="P25" s="148">
        <f t="shared" si="3"/>
        <v>136.93548387096774</v>
      </c>
      <c r="R25" s="42"/>
    </row>
    <row r="26" spans="1:18" ht="14.25">
      <c r="A26" s="161">
        <v>6430212006</v>
      </c>
      <c r="B26" s="161" t="s">
        <v>17</v>
      </c>
      <c r="C26" s="161" t="s">
        <v>16</v>
      </c>
      <c r="D26" s="18">
        <f t="shared" si="2"/>
        <v>0.1101010101010101</v>
      </c>
      <c r="E26" s="18">
        <v>4796</v>
      </c>
      <c r="F26" s="18">
        <v>1560</v>
      </c>
      <c r="G26" s="4" t="s">
        <v>204</v>
      </c>
      <c r="H26" s="20">
        <v>28057</v>
      </c>
      <c r="I26" s="20">
        <v>374041</v>
      </c>
      <c r="J26" s="20">
        <f t="shared" si="0"/>
        <v>402098</v>
      </c>
      <c r="K26" s="20">
        <v>2020</v>
      </c>
      <c r="L26" s="20">
        <v>26930</v>
      </c>
      <c r="M26" s="20">
        <f t="shared" si="1"/>
        <v>28950</v>
      </c>
      <c r="N26" s="20">
        <v>2124.21</v>
      </c>
      <c r="O26" s="20">
        <v>338000</v>
      </c>
      <c r="P26" s="148">
        <f t="shared" si="3"/>
        <v>70.47539616346955</v>
      </c>
      <c r="R26" s="42"/>
    </row>
    <row r="27" spans="1:18" ht="14.25">
      <c r="A27" s="161">
        <v>6430212004</v>
      </c>
      <c r="B27" s="161" t="s">
        <v>6</v>
      </c>
      <c r="C27" s="161" t="s">
        <v>7</v>
      </c>
      <c r="D27" s="18">
        <f t="shared" si="2"/>
        <v>0.11767676767676767</v>
      </c>
      <c r="E27" s="18">
        <v>5126</v>
      </c>
      <c r="F27" s="18">
        <v>894</v>
      </c>
      <c r="G27" s="4" t="s">
        <v>204</v>
      </c>
      <c r="H27" s="20">
        <v>28000</v>
      </c>
      <c r="I27" s="20">
        <v>109424</v>
      </c>
      <c r="J27" s="20">
        <f t="shared" si="0"/>
        <v>137424</v>
      </c>
      <c r="K27" s="20">
        <v>2020</v>
      </c>
      <c r="L27" s="20">
        <v>7880</v>
      </c>
      <c r="M27" s="20">
        <f t="shared" si="1"/>
        <v>9900</v>
      </c>
      <c r="N27" s="20">
        <v>726.41</v>
      </c>
      <c r="O27" s="20">
        <v>180000</v>
      </c>
      <c r="P27" s="148">
        <f t="shared" si="3"/>
        <v>35.115099492781894</v>
      </c>
      <c r="R27" s="42"/>
    </row>
    <row r="28" spans="1:16" ht="14.25">
      <c r="A28" s="32" t="s">
        <v>39</v>
      </c>
      <c r="B28" s="18"/>
      <c r="C28" s="3"/>
      <c r="D28" s="34">
        <f>SUM(D8:D27)</f>
        <v>5.106887202020203</v>
      </c>
      <c r="E28" s="33">
        <f>SUM(E8:E27)</f>
        <v>222456</v>
      </c>
      <c r="F28" s="33">
        <f>SUM(F8:F27)</f>
        <v>59491</v>
      </c>
      <c r="G28" s="33"/>
      <c r="H28" s="186">
        <f aca="true" t="shared" si="4" ref="H28:N28">SUM(H8:H27)</f>
        <v>761466</v>
      </c>
      <c r="I28" s="186">
        <f t="shared" si="4"/>
        <v>4053755</v>
      </c>
      <c r="J28" s="186">
        <f t="shared" si="4"/>
        <v>4815221</v>
      </c>
      <c r="K28" s="186">
        <f t="shared" si="4"/>
        <v>139000</v>
      </c>
      <c r="L28" s="186">
        <f t="shared" si="4"/>
        <v>593530</v>
      </c>
      <c r="M28" s="186">
        <f t="shared" si="4"/>
        <v>732530</v>
      </c>
      <c r="N28" s="186">
        <f t="shared" si="4"/>
        <v>74589.91</v>
      </c>
      <c r="O28" s="186">
        <f>SUM(O8:O27)</f>
        <v>11650548.288489264</v>
      </c>
      <c r="P28" s="35">
        <f t="shared" si="3"/>
        <v>52.372371563317074</v>
      </c>
    </row>
    <row r="29" spans="1:16" ht="14.25">
      <c r="A29" s="18"/>
      <c r="B29" s="18"/>
      <c r="C29" s="3"/>
      <c r="D29" s="3"/>
      <c r="E29" s="3"/>
      <c r="F29" s="3"/>
      <c r="G29" s="4"/>
      <c r="H29" s="3"/>
      <c r="I29" s="3"/>
      <c r="J29" s="5"/>
      <c r="K29" s="3"/>
      <c r="L29" s="5"/>
      <c r="M29" s="20"/>
      <c r="N29" s="148"/>
      <c r="O29" s="20"/>
      <c r="P29" s="3"/>
    </row>
    <row r="30" spans="1:18" ht="14.25">
      <c r="A30" s="150" t="s">
        <v>208</v>
      </c>
      <c r="B30" s="18"/>
      <c r="C30" s="3"/>
      <c r="D30" s="34"/>
      <c r="E30" s="33"/>
      <c r="F30" s="33"/>
      <c r="G30" s="33"/>
      <c r="H30" s="33"/>
      <c r="I30" s="33"/>
      <c r="J30" s="33"/>
      <c r="K30" s="33"/>
      <c r="L30" s="33"/>
      <c r="M30" s="33"/>
      <c r="N30" s="43"/>
      <c r="O30" s="33"/>
      <c r="P30" s="35"/>
      <c r="R30" s="42"/>
    </row>
    <row r="31" spans="1:18" ht="14.25">
      <c r="A31" s="61">
        <v>6430213010</v>
      </c>
      <c r="B31" s="61" t="s">
        <v>206</v>
      </c>
      <c r="C31" s="61" t="s">
        <v>7</v>
      </c>
      <c r="D31" s="61">
        <f>E31/43560</f>
        <v>0.1423324150596878</v>
      </c>
      <c r="E31" s="161">
        <v>6200</v>
      </c>
      <c r="F31" s="61">
        <v>1365</v>
      </c>
      <c r="G31" s="162" t="s">
        <v>204</v>
      </c>
      <c r="H31" s="184">
        <v>40300</v>
      </c>
      <c r="I31" s="184">
        <v>204718</v>
      </c>
      <c r="J31" s="184">
        <f>SUM(H31:I31)</f>
        <v>245018</v>
      </c>
      <c r="K31" s="184">
        <v>2900</v>
      </c>
      <c r="L31" s="184">
        <v>14740</v>
      </c>
      <c r="M31" s="184">
        <f>SUM(K31:L31)</f>
        <v>17640</v>
      </c>
      <c r="N31" s="184">
        <v>1294.34</v>
      </c>
      <c r="O31" s="184">
        <v>540750</v>
      </c>
      <c r="P31" s="185">
        <f>O31/E31</f>
        <v>87.21774193548387</v>
      </c>
      <c r="R31" s="42"/>
    </row>
    <row r="32" spans="1:18" ht="14.25">
      <c r="A32" s="61">
        <v>6430213015</v>
      </c>
      <c r="B32" s="61" t="s">
        <v>205</v>
      </c>
      <c r="C32" s="61" t="s">
        <v>7</v>
      </c>
      <c r="D32" s="61">
        <f>E32/43560</f>
        <v>0.10330578512396695</v>
      </c>
      <c r="E32" s="161">
        <v>4500</v>
      </c>
      <c r="F32" s="61">
        <v>962</v>
      </c>
      <c r="G32" s="162" t="s">
        <v>204</v>
      </c>
      <c r="H32" s="155">
        <v>40300</v>
      </c>
      <c r="I32" s="155">
        <v>111039</v>
      </c>
      <c r="J32" s="155">
        <f>SUM(H32:I32)</f>
        <v>151339</v>
      </c>
      <c r="K32" s="155">
        <v>2900</v>
      </c>
      <c r="L32" s="155">
        <v>7990</v>
      </c>
      <c r="M32" s="155">
        <f>SUM(K32:L32)</f>
        <v>10890</v>
      </c>
      <c r="N32" s="155">
        <v>799.05</v>
      </c>
      <c r="O32" s="155">
        <v>353000</v>
      </c>
      <c r="P32" s="156">
        <f>O32/E32</f>
        <v>78.44444444444444</v>
      </c>
      <c r="R32" s="42"/>
    </row>
    <row r="33" spans="1:18" ht="14.25">
      <c r="A33" s="61">
        <v>6430213014</v>
      </c>
      <c r="B33" s="61" t="s">
        <v>207</v>
      </c>
      <c r="C33" s="61" t="s">
        <v>7</v>
      </c>
      <c r="D33" s="61">
        <f>E33/43560</f>
        <v>0.1216712580348944</v>
      </c>
      <c r="E33" s="161">
        <v>5300</v>
      </c>
      <c r="F33" s="61">
        <v>1090</v>
      </c>
      <c r="G33" s="162" t="s">
        <v>204</v>
      </c>
      <c r="H33" s="155">
        <v>40300</v>
      </c>
      <c r="I33" s="155">
        <v>178899</v>
      </c>
      <c r="J33" s="155">
        <f>SUM(H33:I33)</f>
        <v>219199</v>
      </c>
      <c r="K33" s="155">
        <v>2900</v>
      </c>
      <c r="L33" s="155">
        <v>12880</v>
      </c>
      <c r="M33" s="155">
        <f>SUM(K33:L33)</f>
        <v>15780</v>
      </c>
      <c r="N33" s="155">
        <v>1157.86</v>
      </c>
      <c r="O33" s="155">
        <v>275000</v>
      </c>
      <c r="P33" s="156">
        <f>O33/E33</f>
        <v>51.886792452830186</v>
      </c>
      <c r="R33" s="42"/>
    </row>
    <row r="34" spans="1:18" ht="14.25">
      <c r="A34" s="61">
        <v>6430213013</v>
      </c>
      <c r="B34" s="61" t="s">
        <v>35</v>
      </c>
      <c r="C34" s="86" t="s">
        <v>7</v>
      </c>
      <c r="D34" s="86">
        <f>E34/43560</f>
        <v>0.13544536271809</v>
      </c>
      <c r="E34" s="86">
        <v>5900</v>
      </c>
      <c r="F34" s="86">
        <v>960</v>
      </c>
      <c r="G34" s="153" t="s">
        <v>204</v>
      </c>
      <c r="H34" s="154">
        <v>25960</v>
      </c>
      <c r="I34" s="154">
        <v>136366</v>
      </c>
      <c r="J34" s="154">
        <f>SUM(H34:I34)</f>
        <v>162326</v>
      </c>
      <c r="K34" s="154">
        <v>1870</v>
      </c>
      <c r="L34" s="154">
        <v>9820</v>
      </c>
      <c r="M34" s="155">
        <f>SUM(K34:L34)</f>
        <v>11690</v>
      </c>
      <c r="N34" s="155">
        <v>857.75</v>
      </c>
      <c r="O34" s="155">
        <v>200000</v>
      </c>
      <c r="P34" s="156">
        <f>O34/E34</f>
        <v>33.898305084745765</v>
      </c>
      <c r="R34" s="42"/>
    </row>
    <row r="35" spans="1:16" ht="14.25">
      <c r="A35" s="32" t="s">
        <v>39</v>
      </c>
      <c r="B35" s="182"/>
      <c r="C35" s="182"/>
      <c r="D35" s="34">
        <f>SUM(D31:D34)</f>
        <v>0.502754820936639</v>
      </c>
      <c r="E35" s="33">
        <f>SUM(E31:E34)</f>
        <v>21900</v>
      </c>
      <c r="F35" s="33">
        <f>SUM(F31:F34)</f>
        <v>4377</v>
      </c>
      <c r="G35" s="183"/>
      <c r="H35" s="186">
        <f aca="true" t="shared" si="5" ref="H35:O35">SUM(H31:H34)</f>
        <v>146860</v>
      </c>
      <c r="I35" s="186">
        <f t="shared" si="5"/>
        <v>631022</v>
      </c>
      <c r="J35" s="186">
        <f t="shared" si="5"/>
        <v>777882</v>
      </c>
      <c r="K35" s="186">
        <f t="shared" si="5"/>
        <v>10570</v>
      </c>
      <c r="L35" s="186">
        <f t="shared" si="5"/>
        <v>45430</v>
      </c>
      <c r="M35" s="186">
        <f t="shared" si="5"/>
        <v>56000</v>
      </c>
      <c r="N35" s="186">
        <f t="shared" si="5"/>
        <v>4109</v>
      </c>
      <c r="O35" s="186">
        <f t="shared" si="5"/>
        <v>1368750</v>
      </c>
      <c r="P35" s="35">
        <f>O35/E35</f>
        <v>62.5</v>
      </c>
    </row>
    <row r="36" spans="1:16" ht="14.25">
      <c r="A36" s="61"/>
      <c r="B36" s="61"/>
      <c r="C36" s="61"/>
      <c r="D36" s="61"/>
      <c r="E36" s="61"/>
      <c r="F36" s="61"/>
      <c r="G36" s="153"/>
      <c r="H36" s="155"/>
      <c r="I36" s="155"/>
      <c r="J36" s="155"/>
      <c r="K36" s="155"/>
      <c r="L36" s="155"/>
      <c r="M36" s="155"/>
      <c r="N36" s="155"/>
      <c r="O36" s="155"/>
      <c r="P36" s="156"/>
    </row>
    <row r="37" spans="1:16" ht="14.25">
      <c r="A37" s="23" t="s">
        <v>40</v>
      </c>
      <c r="B37" s="86"/>
      <c r="C37" s="86"/>
      <c r="D37" s="170">
        <f>D28+D35</f>
        <v>5.609642022956842</v>
      </c>
      <c r="E37" s="169">
        <f aca="true" t="shared" si="6" ref="E37:O37">E28+E35</f>
        <v>244356</v>
      </c>
      <c r="F37" s="169">
        <f t="shared" si="6"/>
        <v>63868</v>
      </c>
      <c r="G37" s="66"/>
      <c r="H37" s="66">
        <f t="shared" si="6"/>
        <v>908326</v>
      </c>
      <c r="I37" s="66">
        <f t="shared" si="6"/>
        <v>4684777</v>
      </c>
      <c r="J37" s="66">
        <f t="shared" si="6"/>
        <v>5593103</v>
      </c>
      <c r="K37" s="66">
        <f t="shared" si="6"/>
        <v>149570</v>
      </c>
      <c r="L37" s="66">
        <f t="shared" si="6"/>
        <v>638960</v>
      </c>
      <c r="M37" s="66">
        <f t="shared" si="6"/>
        <v>788530</v>
      </c>
      <c r="N37" s="66">
        <f t="shared" si="6"/>
        <v>78698.91</v>
      </c>
      <c r="O37" s="66">
        <f t="shared" si="6"/>
        <v>13019298.288489264</v>
      </c>
      <c r="P37" s="35">
        <f>O37/E37</f>
        <v>53.28004341407317</v>
      </c>
    </row>
    <row r="38" spans="18:19" ht="14.25">
      <c r="R38" s="42"/>
      <c r="S38" s="42"/>
    </row>
    <row r="40" ht="14.25">
      <c r="S40" s="42"/>
    </row>
    <row r="43" ht="14.25">
      <c r="A43" s="36">
        <v>43530</v>
      </c>
    </row>
  </sheetData>
  <sheetProtection/>
  <mergeCells count="3">
    <mergeCell ref="D5:E5"/>
    <mergeCell ref="H5:J5"/>
    <mergeCell ref="K5:M5"/>
  </mergeCells>
  <printOptions/>
  <pageMargins left="0" right="0" top="0.25" bottom="0.25" header="0.3" footer="0.3"/>
  <pageSetup fitToHeight="1" fitToWidth="1" horizontalDpi="600" verticalDpi="600" orientation="landscape" paperSize="17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zoomScalePageLayoutView="0" workbookViewId="0" topLeftCell="B1">
      <selection activeCell="I39" sqref="I39"/>
    </sheetView>
  </sheetViews>
  <sheetFormatPr defaultColWidth="9.140625" defaultRowHeight="15"/>
  <cols>
    <col min="1" max="1" width="4.421875" style="0" customWidth="1"/>
    <col min="2" max="2" width="11.421875" style="0" customWidth="1"/>
    <col min="3" max="3" width="5.421875" style="0" customWidth="1"/>
    <col min="4" max="4" width="47.7109375" style="0" customWidth="1"/>
    <col min="5" max="5" width="17.7109375" style="41" customWidth="1"/>
    <col min="6" max="6" width="14.8515625" style="41" customWidth="1"/>
    <col min="7" max="8" width="15.7109375" style="50" customWidth="1"/>
    <col min="9" max="9" width="17.7109375" style="51" customWidth="1"/>
    <col min="10" max="10" width="18.7109375" style="0" customWidth="1"/>
    <col min="11" max="11" width="4.7109375" style="0" customWidth="1"/>
    <col min="12" max="12" width="9.140625" style="0" customWidth="1"/>
    <col min="13" max="13" width="11.8515625" style="0" bestFit="1" customWidth="1"/>
  </cols>
  <sheetData>
    <row r="1" spans="1:10" ht="30">
      <c r="A1" s="191" t="s">
        <v>41</v>
      </c>
      <c r="B1" s="45"/>
      <c r="E1" s="46"/>
      <c r="F1" s="46"/>
      <c r="G1" s="166" t="s">
        <v>44</v>
      </c>
      <c r="H1" s="166" t="s">
        <v>45</v>
      </c>
      <c r="I1" s="48"/>
      <c r="J1" s="49"/>
    </row>
    <row r="2" spans="1:10" ht="14.25">
      <c r="A2" s="45" t="s">
        <v>268</v>
      </c>
      <c r="E2" s="46" t="s">
        <v>46</v>
      </c>
      <c r="F2" s="47" t="s">
        <v>47</v>
      </c>
      <c r="G2" s="166" t="s">
        <v>48</v>
      </c>
      <c r="H2" s="166" t="s">
        <v>49</v>
      </c>
      <c r="I2" s="48" t="s">
        <v>50</v>
      </c>
      <c r="J2" s="47" t="s">
        <v>51</v>
      </c>
    </row>
    <row r="3" ht="14.25" thickBot="1"/>
    <row r="4" spans="1:12" ht="14.25">
      <c r="A4" s="53" t="s">
        <v>52</v>
      </c>
      <c r="B4" s="54"/>
      <c r="C4" s="55"/>
      <c r="D4" s="55"/>
      <c r="E4" s="56"/>
      <c r="F4" s="56"/>
      <c r="G4" s="57"/>
      <c r="H4" s="57"/>
      <c r="I4" s="58"/>
      <c r="J4" s="55"/>
      <c r="K4" s="59"/>
      <c r="L4" s="21"/>
    </row>
    <row r="5" spans="1:12" ht="14.25">
      <c r="A5" s="60"/>
      <c r="B5" s="3"/>
      <c r="C5" s="61" t="s">
        <v>53</v>
      </c>
      <c r="D5" s="61"/>
      <c r="E5" s="62"/>
      <c r="F5" s="63"/>
      <c r="G5" s="64"/>
      <c r="H5" s="64"/>
      <c r="I5" s="205">
        <f>'Land Acquisition'!O28</f>
        <v>11650548.288489264</v>
      </c>
      <c r="J5" s="66"/>
      <c r="K5" s="73"/>
      <c r="L5" s="21"/>
    </row>
    <row r="6" spans="1:12" ht="14.25">
      <c r="A6" s="60"/>
      <c r="B6" s="3"/>
      <c r="C6" s="22" t="s">
        <v>54</v>
      </c>
      <c r="D6" s="61"/>
      <c r="E6" s="62"/>
      <c r="F6" s="65"/>
      <c r="G6" s="64"/>
      <c r="H6" s="64"/>
      <c r="I6" s="69">
        <f>I5</f>
        <v>11650548.288489264</v>
      </c>
      <c r="J6" s="66"/>
      <c r="K6" s="73"/>
      <c r="L6" s="21"/>
    </row>
    <row r="7" spans="1:12" ht="14.25">
      <c r="A7" s="60"/>
      <c r="B7" s="3"/>
      <c r="C7" s="61" t="s">
        <v>241</v>
      </c>
      <c r="D7" s="61"/>
      <c r="E7" s="70"/>
      <c r="F7" s="65"/>
      <c r="G7" s="71"/>
      <c r="H7" s="71"/>
      <c r="I7" s="65">
        <v>29790</v>
      </c>
      <c r="J7" s="18"/>
      <c r="K7" s="73"/>
      <c r="L7" s="21"/>
    </row>
    <row r="8" spans="1:12" ht="14.25">
      <c r="A8" s="60"/>
      <c r="B8" s="3"/>
      <c r="C8" s="61" t="s">
        <v>231</v>
      </c>
      <c r="D8" s="61"/>
      <c r="E8" s="70"/>
      <c r="F8" s="65"/>
      <c r="G8" s="71">
        <f>I8</f>
        <v>3537</v>
      </c>
      <c r="H8" s="64"/>
      <c r="I8" s="65">
        <v>3537</v>
      </c>
      <c r="J8" s="18"/>
      <c r="K8" s="73"/>
      <c r="L8" s="21"/>
    </row>
    <row r="9" spans="1:12" ht="14.25">
      <c r="A9" s="60"/>
      <c r="B9" s="3"/>
      <c r="C9" s="61" t="s">
        <v>55</v>
      </c>
      <c r="D9" s="61"/>
      <c r="E9" s="70"/>
      <c r="F9" s="65"/>
      <c r="G9" s="71">
        <f>I9</f>
        <v>144605.27</v>
      </c>
      <c r="H9" s="71"/>
      <c r="I9" s="65">
        <v>144605.27</v>
      </c>
      <c r="J9" s="18"/>
      <c r="K9" s="73"/>
      <c r="L9" s="21"/>
    </row>
    <row r="10" spans="1:12" ht="14.25">
      <c r="A10" s="60"/>
      <c r="B10" s="3"/>
      <c r="C10" s="61" t="s">
        <v>232</v>
      </c>
      <c r="D10" s="61"/>
      <c r="E10" s="70"/>
      <c r="F10" s="65"/>
      <c r="G10" s="71">
        <f>I10</f>
        <v>149450.89</v>
      </c>
      <c r="H10" s="64"/>
      <c r="I10" s="65">
        <v>149450.89</v>
      </c>
      <c r="J10" s="18"/>
      <c r="K10" s="73"/>
      <c r="L10" s="21"/>
    </row>
    <row r="11" spans="1:12" ht="14.25">
      <c r="A11" s="60"/>
      <c r="B11" s="23"/>
      <c r="C11" s="22" t="s">
        <v>57</v>
      </c>
      <c r="D11" s="61"/>
      <c r="E11" s="70"/>
      <c r="F11" s="65"/>
      <c r="G11" s="64"/>
      <c r="H11" s="64"/>
      <c r="I11" s="69">
        <f>SUM(I6:I10)</f>
        <v>11977931.448489264</v>
      </c>
      <c r="J11" s="72">
        <f>I11</f>
        <v>11977931.448489264</v>
      </c>
      <c r="K11" s="163" t="s">
        <v>58</v>
      </c>
      <c r="L11" s="139"/>
    </row>
    <row r="12" spans="1:12" ht="14.25">
      <c r="A12" s="60"/>
      <c r="B12" s="23"/>
      <c r="C12" s="61"/>
      <c r="D12" s="61"/>
      <c r="E12" s="70"/>
      <c r="F12" s="65"/>
      <c r="G12" s="64"/>
      <c r="H12" s="64"/>
      <c r="I12" s="65"/>
      <c r="J12" s="61"/>
      <c r="K12" s="73"/>
      <c r="L12" s="139"/>
    </row>
    <row r="13" spans="1:12" ht="14.25">
      <c r="A13" s="60" t="s">
        <v>59</v>
      </c>
      <c r="B13" s="23"/>
      <c r="C13" s="61"/>
      <c r="D13" s="61"/>
      <c r="E13" s="70"/>
      <c r="F13" s="65"/>
      <c r="G13" s="64"/>
      <c r="H13" s="64"/>
      <c r="I13" s="65"/>
      <c r="J13" s="61"/>
      <c r="K13" s="73"/>
      <c r="L13" s="139"/>
    </row>
    <row r="14" spans="1:12" ht="14.25">
      <c r="A14" s="60"/>
      <c r="B14" s="22" t="s">
        <v>60</v>
      </c>
      <c r="C14" s="22"/>
      <c r="D14" s="22"/>
      <c r="E14" s="40"/>
      <c r="F14" s="65"/>
      <c r="G14" s="65"/>
      <c r="H14" s="65"/>
      <c r="I14" s="65"/>
      <c r="J14" s="74"/>
      <c r="K14" s="73"/>
      <c r="L14" s="139"/>
    </row>
    <row r="15" spans="1:12" ht="14.25">
      <c r="A15" s="60"/>
      <c r="B15" s="22"/>
      <c r="C15" s="61" t="s">
        <v>61</v>
      </c>
      <c r="D15" s="22"/>
      <c r="E15" s="40"/>
      <c r="F15" s="65"/>
      <c r="G15" s="65">
        <v>64349.21</v>
      </c>
      <c r="H15" s="65"/>
      <c r="I15" s="65">
        <f>G15</f>
        <v>64349.21</v>
      </c>
      <c r="J15" s="74"/>
      <c r="K15" s="73"/>
      <c r="L15" s="139"/>
    </row>
    <row r="16" spans="1:12" ht="14.25">
      <c r="A16" s="60"/>
      <c r="B16" s="22"/>
      <c r="C16" s="61" t="s">
        <v>73</v>
      </c>
      <c r="D16" s="61"/>
      <c r="E16" s="70"/>
      <c r="F16" s="76"/>
      <c r="G16" s="65">
        <v>135000</v>
      </c>
      <c r="H16" s="65"/>
      <c r="I16" s="65">
        <f>G16+H16</f>
        <v>135000</v>
      </c>
      <c r="J16" s="74"/>
      <c r="K16" s="73"/>
      <c r="L16" s="139"/>
    </row>
    <row r="17" spans="1:12" ht="14.25">
      <c r="A17" s="60"/>
      <c r="B17" s="22"/>
      <c r="C17" s="61" t="s">
        <v>62</v>
      </c>
      <c r="D17" s="22"/>
      <c r="E17" s="40"/>
      <c r="F17" s="70"/>
      <c r="G17" s="65"/>
      <c r="H17" s="65"/>
      <c r="I17" s="65"/>
      <c r="J17" s="74"/>
      <c r="K17" s="73"/>
      <c r="L17" s="139"/>
    </row>
    <row r="18" spans="1:12" ht="14.25">
      <c r="A18" s="60"/>
      <c r="B18" s="22"/>
      <c r="C18" s="61"/>
      <c r="D18" s="61" t="s">
        <v>228</v>
      </c>
      <c r="E18" s="40"/>
      <c r="F18" s="70"/>
      <c r="G18" s="65"/>
      <c r="H18" s="65"/>
      <c r="I18" s="65">
        <v>133946</v>
      </c>
      <c r="J18" s="74"/>
      <c r="K18" s="73"/>
      <c r="L18" s="139"/>
    </row>
    <row r="19" spans="1:12" ht="14.25">
      <c r="A19" s="60"/>
      <c r="B19" s="22"/>
      <c r="C19" s="61"/>
      <c r="D19" s="61" t="s">
        <v>255</v>
      </c>
      <c r="E19" s="40"/>
      <c r="F19" s="70"/>
      <c r="G19" s="65"/>
      <c r="H19" s="65"/>
      <c r="I19" s="205">
        <v>200000</v>
      </c>
      <c r="J19" s="74"/>
      <c r="K19" s="73"/>
      <c r="L19" s="139"/>
    </row>
    <row r="20" spans="1:12" ht="14.25">
      <c r="A20" s="60"/>
      <c r="B20" s="22"/>
      <c r="C20" s="61"/>
      <c r="D20" s="61" t="s">
        <v>256</v>
      </c>
      <c r="E20" s="40"/>
      <c r="F20" s="70"/>
      <c r="G20" s="65"/>
      <c r="H20" s="65"/>
      <c r="I20" s="205">
        <v>225000</v>
      </c>
      <c r="J20" s="74"/>
      <c r="K20" s="73"/>
      <c r="L20" s="139"/>
    </row>
    <row r="21" spans="1:12" ht="14.25">
      <c r="A21" s="60"/>
      <c r="B21" s="23"/>
      <c r="C21" s="61" t="s">
        <v>63</v>
      </c>
      <c r="D21" s="61"/>
      <c r="E21" s="40"/>
      <c r="F21" s="70"/>
      <c r="G21" s="65"/>
      <c r="H21" s="65"/>
      <c r="I21" s="65"/>
      <c r="J21" s="74"/>
      <c r="K21" s="73"/>
      <c r="L21" s="139"/>
    </row>
    <row r="22" spans="1:12" ht="14.25">
      <c r="A22" s="60"/>
      <c r="B22" s="23"/>
      <c r="C22" s="61"/>
      <c r="D22" s="61" t="s">
        <v>64</v>
      </c>
      <c r="E22" s="40"/>
      <c r="F22" s="70"/>
      <c r="G22" s="65">
        <v>58320</v>
      </c>
      <c r="H22" s="205">
        <v>31634</v>
      </c>
      <c r="I22" s="65">
        <f>G22+H22</f>
        <v>89954</v>
      </c>
      <c r="J22" s="74"/>
      <c r="K22" s="73"/>
      <c r="L22" s="139"/>
    </row>
    <row r="23" spans="1:12" ht="14.25">
      <c r="A23" s="60"/>
      <c r="B23" s="23"/>
      <c r="C23" s="61"/>
      <c r="D23" s="61" t="s">
        <v>209</v>
      </c>
      <c r="E23" s="40"/>
      <c r="F23" s="70"/>
      <c r="G23" s="65"/>
      <c r="H23" s="65"/>
      <c r="I23" s="205">
        <v>1076449.27</v>
      </c>
      <c r="J23" s="74"/>
      <c r="K23" s="73"/>
      <c r="L23" s="139"/>
    </row>
    <row r="24" spans="1:12" ht="14.25">
      <c r="A24" s="60"/>
      <c r="B24" s="23"/>
      <c r="C24" s="61" t="s">
        <v>65</v>
      </c>
      <c r="D24" s="61"/>
      <c r="E24" s="62"/>
      <c r="F24" s="65"/>
      <c r="G24" s="64"/>
      <c r="H24" s="64"/>
      <c r="I24" s="205">
        <f>'Land Acquisition'!O35-225000</f>
        <v>1143750</v>
      </c>
      <c r="J24" s="74"/>
      <c r="K24" s="73"/>
      <c r="L24" s="139"/>
    </row>
    <row r="25" spans="1:12" ht="14.25">
      <c r="A25" s="60"/>
      <c r="B25" s="23"/>
      <c r="C25" s="61" t="s">
        <v>66</v>
      </c>
      <c r="D25" s="61"/>
      <c r="E25" s="40"/>
      <c r="F25" s="70"/>
      <c r="G25" s="65"/>
      <c r="H25" s="65"/>
      <c r="I25" s="65"/>
      <c r="J25" s="74"/>
      <c r="K25" s="73"/>
      <c r="L25" s="139"/>
    </row>
    <row r="26" spans="1:12" ht="14.25">
      <c r="A26" s="60"/>
      <c r="B26" s="23"/>
      <c r="C26" s="61"/>
      <c r="D26" s="61" t="s">
        <v>210</v>
      </c>
      <c r="E26" s="40"/>
      <c r="F26" s="70"/>
      <c r="G26" s="65"/>
      <c r="H26" s="65"/>
      <c r="I26" s="205">
        <v>522331</v>
      </c>
      <c r="J26" s="74"/>
      <c r="K26" s="73"/>
      <c r="L26" s="139"/>
    </row>
    <row r="27" spans="1:12" ht="14.25">
      <c r="A27" s="60"/>
      <c r="B27" s="23"/>
      <c r="C27" s="61"/>
      <c r="D27" s="61" t="s">
        <v>211</v>
      </c>
      <c r="E27" s="40"/>
      <c r="F27" s="70"/>
      <c r="G27" s="65"/>
      <c r="H27" s="65"/>
      <c r="I27" s="205">
        <v>113082</v>
      </c>
      <c r="J27" s="74"/>
      <c r="K27" s="73"/>
      <c r="L27" s="139"/>
    </row>
    <row r="28" spans="1:12" ht="14.25">
      <c r="A28" s="60"/>
      <c r="B28" s="23"/>
      <c r="C28" s="61"/>
      <c r="D28" s="61" t="s">
        <v>212</v>
      </c>
      <c r="E28" s="40"/>
      <c r="F28" s="70"/>
      <c r="G28" s="65"/>
      <c r="H28" s="65"/>
      <c r="I28" s="205">
        <v>185018.75</v>
      </c>
      <c r="J28" s="74"/>
      <c r="K28" s="73"/>
      <c r="L28" s="139"/>
    </row>
    <row r="29" spans="1:12" ht="14.25">
      <c r="A29" s="60"/>
      <c r="B29" s="23"/>
      <c r="C29" s="61"/>
      <c r="D29" s="61" t="s">
        <v>213</v>
      </c>
      <c r="E29" s="40"/>
      <c r="F29" s="70"/>
      <c r="G29" s="65"/>
      <c r="H29" s="65"/>
      <c r="I29" s="205">
        <v>792374.01</v>
      </c>
      <c r="J29" s="74"/>
      <c r="K29" s="73"/>
      <c r="L29" s="139"/>
    </row>
    <row r="30" spans="1:12" ht="14.25">
      <c r="A30" s="60"/>
      <c r="B30" s="23"/>
      <c r="C30" s="61" t="s">
        <v>68</v>
      </c>
      <c r="D30" s="61"/>
      <c r="E30" s="40"/>
      <c r="F30" s="70"/>
      <c r="G30" s="65">
        <v>121507.3</v>
      </c>
      <c r="H30" s="65"/>
      <c r="I30" s="65">
        <f>G30</f>
        <v>121507.3</v>
      </c>
      <c r="J30" s="74"/>
      <c r="K30" s="73"/>
      <c r="L30" s="139"/>
    </row>
    <row r="31" spans="1:12" ht="14.25">
      <c r="A31" s="60"/>
      <c r="B31" s="23"/>
      <c r="C31" s="61" t="s">
        <v>69</v>
      </c>
      <c r="D31" s="61"/>
      <c r="E31" s="40"/>
      <c r="F31" s="70"/>
      <c r="G31" s="65">
        <v>45879.66</v>
      </c>
      <c r="H31" s="65"/>
      <c r="I31" s="65">
        <f>G31+H31</f>
        <v>45879.66</v>
      </c>
      <c r="J31" s="74"/>
      <c r="K31" s="73"/>
      <c r="L31" s="139"/>
    </row>
    <row r="32" spans="1:12" ht="14.25">
      <c r="A32" s="60"/>
      <c r="B32" s="23"/>
      <c r="C32" s="61" t="s">
        <v>70</v>
      </c>
      <c r="D32" s="61"/>
      <c r="E32" s="40"/>
      <c r="F32" s="70"/>
      <c r="G32" s="65">
        <v>13846.25</v>
      </c>
      <c r="H32" s="65"/>
      <c r="I32" s="65">
        <f>G32+H32</f>
        <v>13846.25</v>
      </c>
      <c r="J32" s="74"/>
      <c r="K32" s="73"/>
      <c r="L32" s="139"/>
    </row>
    <row r="33" spans="1:12" ht="14.25">
      <c r="A33" s="60"/>
      <c r="B33" s="23"/>
      <c r="C33" s="61" t="s">
        <v>71</v>
      </c>
      <c r="D33" s="61"/>
      <c r="E33" s="40"/>
      <c r="F33" s="70"/>
      <c r="G33" s="65">
        <v>79483.53</v>
      </c>
      <c r="H33" s="65"/>
      <c r="I33" s="65">
        <f>G33+H33</f>
        <v>79483.53</v>
      </c>
      <c r="J33" s="74"/>
      <c r="K33" s="73"/>
      <c r="L33" s="139"/>
    </row>
    <row r="34" spans="1:12" ht="14.25">
      <c r="A34" s="60"/>
      <c r="B34" s="23"/>
      <c r="C34" s="22" t="s">
        <v>75</v>
      </c>
      <c r="D34" s="61"/>
      <c r="E34" s="40"/>
      <c r="F34" s="70"/>
      <c r="G34" s="63"/>
      <c r="H34" s="63"/>
      <c r="I34" s="69">
        <f>SUM(I15:I33)</f>
        <v>4941970.98</v>
      </c>
      <c r="J34" s="74">
        <f>I34</f>
        <v>4941970.98</v>
      </c>
      <c r="K34" s="163" t="s">
        <v>76</v>
      </c>
      <c r="L34" s="139"/>
    </row>
    <row r="35" spans="1:12" ht="14.25">
      <c r="A35" s="60"/>
      <c r="B35" s="23"/>
      <c r="C35" s="61"/>
      <c r="D35" s="61"/>
      <c r="E35" s="70"/>
      <c r="F35" s="65"/>
      <c r="G35" s="64"/>
      <c r="H35" s="64"/>
      <c r="I35" s="65"/>
      <c r="J35" s="61"/>
      <c r="K35" s="73"/>
      <c r="L35" s="139"/>
    </row>
    <row r="36" spans="1:12" ht="14.25">
      <c r="A36" s="60"/>
      <c r="B36" s="22" t="s">
        <v>77</v>
      </c>
      <c r="C36" s="61"/>
      <c r="D36" s="61"/>
      <c r="E36" s="70"/>
      <c r="F36" s="65"/>
      <c r="G36" s="64"/>
      <c r="H36" s="64"/>
      <c r="I36" s="65"/>
      <c r="J36" s="61"/>
      <c r="K36" s="73"/>
      <c r="L36" s="139"/>
    </row>
    <row r="37" spans="1:12" ht="14.25">
      <c r="A37" s="60"/>
      <c r="B37" s="22"/>
      <c r="C37" s="61" t="s">
        <v>78</v>
      </c>
      <c r="D37" s="61"/>
      <c r="E37" s="78"/>
      <c r="F37" s="65"/>
      <c r="G37" s="71">
        <v>46340</v>
      </c>
      <c r="H37" s="71">
        <v>37000</v>
      </c>
      <c r="I37" s="65">
        <f>G37+H37</f>
        <v>83340</v>
      </c>
      <c r="J37" s="61"/>
      <c r="K37" s="73"/>
      <c r="L37" s="139"/>
    </row>
    <row r="38" spans="1:12" ht="14.25">
      <c r="A38" s="60"/>
      <c r="B38" s="22"/>
      <c r="C38" s="61" t="s">
        <v>79</v>
      </c>
      <c r="D38" s="61"/>
      <c r="E38" s="78"/>
      <c r="F38" s="63"/>
      <c r="G38" s="65">
        <v>98614.07</v>
      </c>
      <c r="H38" s="205">
        <v>339042.66</v>
      </c>
      <c r="I38" s="65">
        <f>G38+H38</f>
        <v>437656.73</v>
      </c>
      <c r="J38" s="61"/>
      <c r="K38" s="73"/>
      <c r="L38" s="139"/>
    </row>
    <row r="39" spans="1:12" ht="14.25">
      <c r="A39" s="60"/>
      <c r="B39" s="22"/>
      <c r="C39" s="61" t="s">
        <v>80</v>
      </c>
      <c r="D39" s="61"/>
      <c r="E39" s="78"/>
      <c r="F39" s="79"/>
      <c r="G39" s="65">
        <v>152376.5</v>
      </c>
      <c r="H39" s="205">
        <v>680189</v>
      </c>
      <c r="I39" s="65">
        <f>G39+H39</f>
        <v>832565.5</v>
      </c>
      <c r="J39" s="61"/>
      <c r="K39" s="73"/>
      <c r="L39" s="139"/>
    </row>
    <row r="40" spans="1:12" ht="14.25">
      <c r="A40" s="60"/>
      <c r="B40" s="22"/>
      <c r="C40" s="61" t="s">
        <v>72</v>
      </c>
      <c r="D40" s="61"/>
      <c r="E40" s="40"/>
      <c r="F40" s="70"/>
      <c r="G40" s="65"/>
      <c r="H40" s="65"/>
      <c r="I40" s="65">
        <f>(I34+I37+I38+I39)*0.04</f>
        <v>251821.32840000003</v>
      </c>
      <c r="J40" s="74"/>
      <c r="K40" s="73"/>
      <c r="L40" s="139"/>
    </row>
    <row r="41" spans="1:12" ht="14.25">
      <c r="A41" s="60"/>
      <c r="B41" s="22"/>
      <c r="C41" s="22" t="s">
        <v>81</v>
      </c>
      <c r="D41" s="22"/>
      <c r="E41" s="40"/>
      <c r="F41" s="65"/>
      <c r="G41" s="63"/>
      <c r="H41" s="63"/>
      <c r="I41" s="69">
        <f>SUM(I37:I40)</f>
        <v>1605383.5584</v>
      </c>
      <c r="J41" s="74">
        <f>I41</f>
        <v>1605383.5584</v>
      </c>
      <c r="K41" s="163" t="s">
        <v>82</v>
      </c>
      <c r="L41" s="139"/>
    </row>
    <row r="42" spans="1:12" ht="14.25">
      <c r="A42" s="60"/>
      <c r="B42" s="22"/>
      <c r="C42" s="22"/>
      <c r="D42" s="22"/>
      <c r="E42" s="40"/>
      <c r="F42" s="65"/>
      <c r="G42" s="63"/>
      <c r="H42" s="63"/>
      <c r="I42" s="69"/>
      <c r="J42" s="74"/>
      <c r="K42" s="163"/>
      <c r="L42" s="139"/>
    </row>
    <row r="43" spans="1:12" ht="14.25">
      <c r="A43" s="60" t="s">
        <v>239</v>
      </c>
      <c r="B43" s="22"/>
      <c r="C43" s="61"/>
      <c r="D43" s="61"/>
      <c r="E43" s="70"/>
      <c r="F43" s="65"/>
      <c r="G43" s="64"/>
      <c r="H43" s="64"/>
      <c r="I43" s="65"/>
      <c r="J43" s="61"/>
      <c r="K43" s="73"/>
      <c r="L43" s="139"/>
    </row>
    <row r="44" spans="1:12" ht="14.25">
      <c r="A44" s="80"/>
      <c r="B44" s="61" t="s">
        <v>203</v>
      </c>
      <c r="C44" s="22"/>
      <c r="D44" s="61"/>
      <c r="E44" s="62"/>
      <c r="F44" s="65"/>
      <c r="G44" s="64"/>
      <c r="H44" s="64"/>
      <c r="I44" s="205">
        <v>3133799</v>
      </c>
      <c r="J44" s="18"/>
      <c r="K44" s="73"/>
      <c r="L44" s="139"/>
    </row>
    <row r="45" spans="1:12" ht="14.25">
      <c r="A45" s="80"/>
      <c r="B45" s="61" t="s">
        <v>230</v>
      </c>
      <c r="C45" s="61"/>
      <c r="D45" s="61"/>
      <c r="E45" s="62"/>
      <c r="F45" s="65"/>
      <c r="G45" s="64"/>
      <c r="H45" s="64"/>
      <c r="I45" s="205">
        <v>250000</v>
      </c>
      <c r="J45" s="18"/>
      <c r="K45" s="73"/>
      <c r="L45" s="139"/>
    </row>
    <row r="46" spans="1:12" ht="14.25">
      <c r="A46" s="80"/>
      <c r="B46" s="61" t="s">
        <v>229</v>
      </c>
      <c r="C46" s="18"/>
      <c r="D46" s="61"/>
      <c r="E46" s="70"/>
      <c r="F46" s="70"/>
      <c r="G46" s="63"/>
      <c r="H46" s="63"/>
      <c r="I46" s="65"/>
      <c r="J46" s="18"/>
      <c r="K46" s="73"/>
      <c r="L46" s="139"/>
    </row>
    <row r="47" spans="1:12" ht="14.25">
      <c r="A47" s="80"/>
      <c r="B47" s="61"/>
      <c r="C47" s="61" t="s">
        <v>67</v>
      </c>
      <c r="D47" s="61"/>
      <c r="E47" s="40"/>
      <c r="F47" s="70"/>
      <c r="G47" s="65"/>
      <c r="H47" s="65"/>
      <c r="I47" s="206">
        <v>500000</v>
      </c>
      <c r="J47" s="75"/>
      <c r="K47" s="73"/>
      <c r="L47" s="139"/>
    </row>
    <row r="48" spans="1:13" ht="14.25">
      <c r="A48" s="80"/>
      <c r="B48" s="22"/>
      <c r="C48" s="61" t="s">
        <v>115</v>
      </c>
      <c r="D48" s="61"/>
      <c r="E48" s="70"/>
      <c r="F48" s="70"/>
      <c r="G48" s="63"/>
      <c r="H48" s="63"/>
      <c r="I48" s="65" t="s">
        <v>116</v>
      </c>
      <c r="J48" s="18"/>
      <c r="K48" s="73"/>
      <c r="L48" s="139"/>
      <c r="M48" s="207"/>
    </row>
    <row r="49" spans="1:13" ht="14.25">
      <c r="A49" s="80"/>
      <c r="B49" s="23" t="s">
        <v>84</v>
      </c>
      <c r="C49" s="61"/>
      <c r="D49" s="61"/>
      <c r="E49" s="62"/>
      <c r="F49" s="65"/>
      <c r="G49" s="64"/>
      <c r="H49" s="64"/>
      <c r="I49" s="69">
        <f>SUM(I44:I48)</f>
        <v>3883799</v>
      </c>
      <c r="J49" s="74">
        <f>I49</f>
        <v>3883799</v>
      </c>
      <c r="K49" s="163" t="s">
        <v>83</v>
      </c>
      <c r="L49" s="139"/>
      <c r="M49" s="98" t="s">
        <v>281</v>
      </c>
    </row>
    <row r="50" spans="1:12" ht="14.25">
      <c r="A50" s="60"/>
      <c r="B50" s="23"/>
      <c r="C50" s="61"/>
      <c r="D50" s="61"/>
      <c r="E50" s="70"/>
      <c r="F50" s="65"/>
      <c r="G50" s="64"/>
      <c r="H50" s="64"/>
      <c r="I50" s="65"/>
      <c r="J50" s="61"/>
      <c r="K50" s="73"/>
      <c r="L50" s="139"/>
    </row>
    <row r="51" spans="1:13" ht="15">
      <c r="A51" s="60" t="s">
        <v>86</v>
      </c>
      <c r="B51" s="23"/>
      <c r="C51" s="22"/>
      <c r="D51" s="61"/>
      <c r="E51" s="40"/>
      <c r="F51" s="70"/>
      <c r="G51" s="63"/>
      <c r="H51" s="63"/>
      <c r="I51" s="65"/>
      <c r="J51" s="81">
        <f>SUM(J14:J50)</f>
        <v>10431153.5384</v>
      </c>
      <c r="K51" s="163" t="s">
        <v>85</v>
      </c>
      <c r="L51" s="139"/>
      <c r="M51" s="208"/>
    </row>
    <row r="52" spans="1:13" ht="14.25">
      <c r="A52" s="60"/>
      <c r="B52" s="23"/>
      <c r="C52" s="22"/>
      <c r="D52" s="61"/>
      <c r="E52" s="40"/>
      <c r="F52" s="70"/>
      <c r="G52" s="63"/>
      <c r="H52" s="63"/>
      <c r="I52" s="65"/>
      <c r="J52" s="74"/>
      <c r="K52" s="73"/>
      <c r="L52" s="139"/>
      <c r="M52" s="98" t="s">
        <v>282</v>
      </c>
    </row>
    <row r="53" spans="1:12" ht="14.25">
      <c r="A53" s="60"/>
      <c r="B53" s="23" t="s">
        <v>88</v>
      </c>
      <c r="C53" s="61"/>
      <c r="D53" s="61"/>
      <c r="E53" s="70"/>
      <c r="F53" s="70"/>
      <c r="G53" s="63"/>
      <c r="H53" s="63"/>
      <c r="I53" s="65"/>
      <c r="J53" s="61"/>
      <c r="K53" s="73"/>
      <c r="L53" s="139"/>
    </row>
    <row r="54" spans="1:12" ht="14.25">
      <c r="A54" s="60"/>
      <c r="B54" s="23"/>
      <c r="C54" s="61" t="s">
        <v>214</v>
      </c>
      <c r="D54" s="61"/>
      <c r="E54" s="70"/>
      <c r="F54" s="70"/>
      <c r="G54" s="65">
        <v>49654.33</v>
      </c>
      <c r="H54" s="65"/>
      <c r="I54" s="204">
        <f>G54+H54</f>
        <v>49654.33</v>
      </c>
      <c r="J54" s="61"/>
      <c r="K54" s="73"/>
      <c r="L54" s="139"/>
    </row>
    <row r="55" spans="1:12" ht="14.25">
      <c r="A55" s="60"/>
      <c r="B55" s="23"/>
      <c r="C55" s="61" t="s">
        <v>236</v>
      </c>
      <c r="D55" s="61"/>
      <c r="E55" s="70"/>
      <c r="F55" s="70"/>
      <c r="G55" s="65">
        <v>127423.65</v>
      </c>
      <c r="H55" s="65"/>
      <c r="I55" s="204">
        <f>G55+H55</f>
        <v>127423.65</v>
      </c>
      <c r="J55" s="61"/>
      <c r="K55" s="73"/>
      <c r="L55" s="139"/>
    </row>
    <row r="56" spans="1:12" ht="14.25">
      <c r="A56" s="60"/>
      <c r="B56" s="23"/>
      <c r="C56" s="61" t="s">
        <v>89</v>
      </c>
      <c r="D56" s="61"/>
      <c r="E56" s="70"/>
      <c r="F56" s="70"/>
      <c r="G56" s="65">
        <v>35650</v>
      </c>
      <c r="H56" s="65">
        <v>10000</v>
      </c>
      <c r="I56" s="204">
        <f>G56+H56</f>
        <v>45650</v>
      </c>
      <c r="J56" s="61"/>
      <c r="K56" s="73"/>
      <c r="L56" s="139"/>
    </row>
    <row r="57" spans="1:12" ht="14.25">
      <c r="A57" s="60"/>
      <c r="B57" s="23"/>
      <c r="C57" s="61" t="s">
        <v>215</v>
      </c>
      <c r="D57" s="61"/>
      <c r="E57" s="70"/>
      <c r="F57" s="70"/>
      <c r="G57" s="65">
        <v>18795.02</v>
      </c>
      <c r="H57" s="65">
        <v>20000</v>
      </c>
      <c r="I57" s="204">
        <f>G57+H57</f>
        <v>38795.020000000004</v>
      </c>
      <c r="J57" s="61"/>
      <c r="K57" s="73"/>
      <c r="L57" s="139"/>
    </row>
    <row r="58" spans="1:12" ht="14.25">
      <c r="A58" s="60"/>
      <c r="B58" s="23"/>
      <c r="C58" s="61" t="s">
        <v>90</v>
      </c>
      <c r="D58" s="61"/>
      <c r="E58" s="70"/>
      <c r="F58" s="70"/>
      <c r="G58" s="65">
        <v>51280</v>
      </c>
      <c r="H58" s="65">
        <v>10000</v>
      </c>
      <c r="I58" s="204">
        <f aca="true" t="shared" si="0" ref="I58:I63">G58+H58</f>
        <v>61280</v>
      </c>
      <c r="J58" s="61"/>
      <c r="K58" s="73"/>
      <c r="L58" s="139"/>
    </row>
    <row r="59" spans="1:12" ht="14.25">
      <c r="A59" s="60"/>
      <c r="B59" s="23"/>
      <c r="C59" s="61" t="s">
        <v>91</v>
      </c>
      <c r="D59" s="61"/>
      <c r="E59" s="70"/>
      <c r="F59" s="70"/>
      <c r="G59" s="65"/>
      <c r="H59" s="65"/>
      <c r="I59" s="204">
        <f t="shared" si="0"/>
        <v>0</v>
      </c>
      <c r="J59" s="61"/>
      <c r="K59" s="73"/>
      <c r="L59" s="139"/>
    </row>
    <row r="60" spans="1:12" ht="14.25">
      <c r="A60" s="60"/>
      <c r="B60" s="23"/>
      <c r="C60" s="61" t="s">
        <v>92</v>
      </c>
      <c r="D60" s="61"/>
      <c r="E60" s="70"/>
      <c r="F60" s="70"/>
      <c r="G60" s="65"/>
      <c r="H60" s="65"/>
      <c r="I60" s="204">
        <f t="shared" si="0"/>
        <v>0</v>
      </c>
      <c r="J60" s="61"/>
      <c r="K60" s="73"/>
      <c r="L60" s="139"/>
    </row>
    <row r="61" spans="1:12" ht="14.25">
      <c r="A61" s="60"/>
      <c r="B61" s="23"/>
      <c r="C61" s="61" t="s">
        <v>93</v>
      </c>
      <c r="D61" s="61"/>
      <c r="E61" s="70"/>
      <c r="F61" s="70"/>
      <c r="G61" s="65">
        <v>4413.5</v>
      </c>
      <c r="H61" s="65"/>
      <c r="I61" s="204">
        <f t="shared" si="0"/>
        <v>4413.5</v>
      </c>
      <c r="J61" s="61"/>
      <c r="K61" s="73"/>
      <c r="L61" s="139"/>
    </row>
    <row r="62" spans="1:12" ht="14.25">
      <c r="A62" s="60"/>
      <c r="B62" s="23"/>
      <c r="C62" s="61" t="s">
        <v>94</v>
      </c>
      <c r="D62" s="61"/>
      <c r="E62" s="70"/>
      <c r="F62" s="70"/>
      <c r="G62" s="65"/>
      <c r="H62" s="65"/>
      <c r="I62" s="204">
        <f t="shared" si="0"/>
        <v>0</v>
      </c>
      <c r="J62" s="61"/>
      <c r="K62" s="73"/>
      <c r="L62" s="139"/>
    </row>
    <row r="63" spans="1:12" ht="14.25">
      <c r="A63" s="60"/>
      <c r="B63" s="23"/>
      <c r="C63" s="61" t="s">
        <v>95</v>
      </c>
      <c r="D63" s="61"/>
      <c r="E63" s="70"/>
      <c r="F63" s="70"/>
      <c r="G63" s="65">
        <v>18092</v>
      </c>
      <c r="H63" s="65">
        <v>5258</v>
      </c>
      <c r="I63" s="204">
        <f t="shared" si="0"/>
        <v>23350</v>
      </c>
      <c r="J63" s="61"/>
      <c r="K63" s="73"/>
      <c r="L63" s="139"/>
    </row>
    <row r="64" spans="1:12" ht="14.25">
      <c r="A64" s="60"/>
      <c r="B64" s="23"/>
      <c r="C64" s="61" t="s">
        <v>96</v>
      </c>
      <c r="D64" s="61"/>
      <c r="E64" s="70"/>
      <c r="F64" s="70"/>
      <c r="G64" s="65">
        <v>6717.5</v>
      </c>
      <c r="H64" s="65"/>
      <c r="I64" s="204">
        <f>G64</f>
        <v>6717.5</v>
      </c>
      <c r="J64" s="61"/>
      <c r="K64" s="73"/>
      <c r="L64" s="139"/>
    </row>
    <row r="65" spans="1:12" ht="14.25">
      <c r="A65" s="60"/>
      <c r="B65" s="23"/>
      <c r="C65" s="22" t="s">
        <v>97</v>
      </c>
      <c r="D65" s="61"/>
      <c r="E65" s="70"/>
      <c r="F65" s="70"/>
      <c r="G65" s="63"/>
      <c r="H65" s="63"/>
      <c r="I65" s="69">
        <f>SUM(I54:I64)</f>
        <v>357284</v>
      </c>
      <c r="J65" s="74">
        <f>I65</f>
        <v>357284</v>
      </c>
      <c r="K65" s="163" t="s">
        <v>87</v>
      </c>
      <c r="L65" s="139"/>
    </row>
    <row r="66" spans="1:12" ht="14.25">
      <c r="A66" s="60"/>
      <c r="B66" s="23"/>
      <c r="C66" s="22"/>
      <c r="D66" s="61"/>
      <c r="E66" s="70"/>
      <c r="F66" s="70"/>
      <c r="G66" s="63"/>
      <c r="H66" s="63"/>
      <c r="I66" s="65"/>
      <c r="J66" s="61"/>
      <c r="K66" s="73"/>
      <c r="L66" s="139"/>
    </row>
    <row r="67" spans="1:12" ht="14.25">
      <c r="A67" s="60"/>
      <c r="B67" s="23" t="s">
        <v>99</v>
      </c>
      <c r="C67" s="61"/>
      <c r="D67" s="61"/>
      <c r="E67" s="70"/>
      <c r="F67" s="70"/>
      <c r="G67" s="63"/>
      <c r="H67" s="63"/>
      <c r="I67" s="65"/>
      <c r="J67" s="61"/>
      <c r="K67" s="73"/>
      <c r="L67" s="139"/>
    </row>
    <row r="68" spans="1:12" ht="14.25">
      <c r="A68" s="60"/>
      <c r="B68" s="22"/>
      <c r="C68" s="61" t="s">
        <v>100</v>
      </c>
      <c r="D68" s="61"/>
      <c r="E68" s="70"/>
      <c r="F68" s="82"/>
      <c r="G68" s="167"/>
      <c r="H68" s="65"/>
      <c r="I68" s="204">
        <v>469145</v>
      </c>
      <c r="J68" s="61"/>
      <c r="K68" s="73"/>
      <c r="L68" s="139"/>
    </row>
    <row r="69" spans="1:12" ht="14.25">
      <c r="A69" s="60"/>
      <c r="B69" s="22"/>
      <c r="C69" s="61" t="s">
        <v>237</v>
      </c>
      <c r="D69" s="61"/>
      <c r="E69" s="70"/>
      <c r="F69" s="82"/>
      <c r="G69" s="167"/>
      <c r="H69" s="65"/>
      <c r="I69" s="204">
        <v>168000</v>
      </c>
      <c r="J69" s="61"/>
      <c r="K69" s="73"/>
      <c r="L69" s="139"/>
    </row>
    <row r="70" spans="1:12" ht="14.25">
      <c r="A70" s="60"/>
      <c r="B70" s="22"/>
      <c r="C70" s="61" t="s">
        <v>101</v>
      </c>
      <c r="D70" s="61"/>
      <c r="E70" s="70">
        <v>51686</v>
      </c>
      <c r="F70" s="65">
        <v>4</v>
      </c>
      <c r="G70" s="63"/>
      <c r="H70" s="63"/>
      <c r="I70" s="204">
        <f>E70*F70</f>
        <v>206744</v>
      </c>
      <c r="J70" s="61"/>
      <c r="K70" s="73"/>
      <c r="L70" s="139"/>
    </row>
    <row r="71" spans="1:12" ht="14.25">
      <c r="A71" s="60"/>
      <c r="B71" s="22"/>
      <c r="C71" s="61" t="s">
        <v>102</v>
      </c>
      <c r="D71" s="61"/>
      <c r="E71" s="70"/>
      <c r="F71" s="82"/>
      <c r="G71" s="63"/>
      <c r="H71" s="63"/>
      <c r="I71" s="204">
        <v>85000</v>
      </c>
      <c r="J71" s="61"/>
      <c r="K71" s="73"/>
      <c r="L71" s="139"/>
    </row>
    <row r="72" spans="1:12" ht="14.25">
      <c r="A72" s="60"/>
      <c r="B72" s="22"/>
      <c r="C72" s="61" t="s">
        <v>240</v>
      </c>
      <c r="D72" s="61"/>
      <c r="E72" s="70"/>
      <c r="F72" s="82"/>
      <c r="G72" s="63"/>
      <c r="H72" s="63"/>
      <c r="I72" s="204">
        <v>30000</v>
      </c>
      <c r="J72" s="61"/>
      <c r="K72" s="73"/>
      <c r="L72" s="139"/>
    </row>
    <row r="73" spans="1:12" ht="14.25">
      <c r="A73" s="60"/>
      <c r="B73" s="22"/>
      <c r="C73" s="22" t="s">
        <v>103</v>
      </c>
      <c r="D73" s="61"/>
      <c r="E73" s="70"/>
      <c r="F73" s="70"/>
      <c r="G73" s="63"/>
      <c r="H73" s="63"/>
      <c r="I73" s="69">
        <f>SUM(I68:I72)</f>
        <v>958889</v>
      </c>
      <c r="J73" s="74">
        <f>I73</f>
        <v>958889</v>
      </c>
      <c r="K73" s="163" t="s">
        <v>98</v>
      </c>
      <c r="L73" s="139"/>
    </row>
    <row r="74" spans="1:12" ht="14.25">
      <c r="A74" s="60"/>
      <c r="B74" s="22"/>
      <c r="C74" s="22"/>
      <c r="D74" s="61"/>
      <c r="E74" s="70"/>
      <c r="F74" s="70"/>
      <c r="G74" s="63"/>
      <c r="H74" s="63"/>
      <c r="I74" s="65"/>
      <c r="J74" s="61"/>
      <c r="K74" s="73"/>
      <c r="L74" s="139"/>
    </row>
    <row r="75" spans="1:12" ht="14.25">
      <c r="A75" s="83"/>
      <c r="B75" s="22" t="s">
        <v>105</v>
      </c>
      <c r="C75" s="61"/>
      <c r="D75" s="61"/>
      <c r="E75" s="70"/>
      <c r="F75" s="70"/>
      <c r="G75" s="63"/>
      <c r="H75" s="63"/>
      <c r="I75" s="65"/>
      <c r="J75" s="61"/>
      <c r="K75" s="73"/>
      <c r="L75" s="139"/>
    </row>
    <row r="76" spans="1:12" ht="14.25">
      <c r="A76" s="83"/>
      <c r="B76" s="22"/>
      <c r="C76" s="61" t="s">
        <v>226</v>
      </c>
      <c r="D76" s="61"/>
      <c r="E76" s="70"/>
      <c r="F76" s="70"/>
      <c r="G76" s="63"/>
      <c r="H76" s="63"/>
      <c r="I76" s="65"/>
      <c r="J76" s="61"/>
      <c r="K76" s="73"/>
      <c r="L76" s="139"/>
    </row>
    <row r="77" spans="1:12" ht="14.25">
      <c r="A77" s="83"/>
      <c r="B77" s="22"/>
      <c r="C77" s="61" t="s">
        <v>106</v>
      </c>
      <c r="D77" s="61"/>
      <c r="E77" s="70"/>
      <c r="F77" s="70"/>
      <c r="G77" s="63"/>
      <c r="H77" s="63"/>
      <c r="I77" s="65"/>
      <c r="J77" s="61"/>
      <c r="K77" s="73"/>
      <c r="L77" s="139"/>
    </row>
    <row r="78" spans="1:12" ht="14.25">
      <c r="A78" s="83"/>
      <c r="B78" s="22"/>
      <c r="C78" s="61" t="s">
        <v>227</v>
      </c>
      <c r="D78" s="61"/>
      <c r="E78" s="70"/>
      <c r="F78" s="70"/>
      <c r="G78" s="63"/>
      <c r="H78" s="63"/>
      <c r="I78" s="65"/>
      <c r="J78" s="61"/>
      <c r="K78" s="73"/>
      <c r="L78" s="139"/>
    </row>
    <row r="79" spans="1:12" ht="14.25">
      <c r="A79" s="83"/>
      <c r="B79" s="22"/>
      <c r="C79" s="61" t="s">
        <v>107</v>
      </c>
      <c r="D79" s="61"/>
      <c r="E79" s="70"/>
      <c r="F79" s="70"/>
      <c r="G79" s="63"/>
      <c r="H79" s="63"/>
      <c r="I79" s="204">
        <v>65000</v>
      </c>
      <c r="J79" s="61"/>
      <c r="K79" s="73"/>
      <c r="L79" s="139"/>
    </row>
    <row r="80" spans="1:12" ht="14.25">
      <c r="A80" s="83"/>
      <c r="B80" s="22"/>
      <c r="C80" s="61" t="s">
        <v>56</v>
      </c>
      <c r="D80" s="61"/>
      <c r="E80" s="70"/>
      <c r="F80" s="70"/>
      <c r="G80" s="63"/>
      <c r="H80" s="63"/>
      <c r="I80" s="204">
        <v>18000</v>
      </c>
      <c r="J80" s="61"/>
      <c r="K80" s="73"/>
      <c r="L80" s="139"/>
    </row>
    <row r="81" spans="1:12" ht="14.25">
      <c r="A81" s="83"/>
      <c r="B81" s="22"/>
      <c r="C81" s="61" t="s">
        <v>108</v>
      </c>
      <c r="D81" s="61"/>
      <c r="E81" s="70" t="s">
        <v>74</v>
      </c>
      <c r="F81" s="65">
        <v>7500</v>
      </c>
      <c r="G81" s="63"/>
      <c r="H81" s="63"/>
      <c r="I81" s="204">
        <f>7500*3</f>
        <v>22500</v>
      </c>
      <c r="J81" s="61"/>
      <c r="K81" s="73"/>
      <c r="L81" s="139"/>
    </row>
    <row r="82" spans="1:12" ht="14.25">
      <c r="A82" s="83"/>
      <c r="B82" s="22"/>
      <c r="C82" s="61" t="s">
        <v>109</v>
      </c>
      <c r="D82" s="61"/>
      <c r="E82" s="70"/>
      <c r="F82" s="70"/>
      <c r="G82" s="63"/>
      <c r="H82" s="63"/>
      <c r="I82" s="204">
        <v>25000</v>
      </c>
      <c r="J82" s="61"/>
      <c r="K82" s="73"/>
      <c r="L82" s="139"/>
    </row>
    <row r="83" spans="1:12" ht="14.25">
      <c r="A83" s="83"/>
      <c r="B83" s="22"/>
      <c r="C83" s="61" t="s">
        <v>110</v>
      </c>
      <c r="D83" s="61"/>
      <c r="E83" s="70"/>
      <c r="F83" s="70"/>
      <c r="G83" s="65">
        <f>I83</f>
        <v>38965.77</v>
      </c>
      <c r="H83" s="63"/>
      <c r="I83" s="204">
        <v>38965.77</v>
      </c>
      <c r="J83" s="61"/>
      <c r="K83" s="73"/>
      <c r="L83" s="139"/>
    </row>
    <row r="84" spans="1:12" ht="14.25">
      <c r="A84" s="83"/>
      <c r="B84" s="22"/>
      <c r="C84" s="61" t="s">
        <v>111</v>
      </c>
      <c r="D84" s="61"/>
      <c r="E84" s="70"/>
      <c r="F84" s="70"/>
      <c r="G84" s="63"/>
      <c r="H84" s="63"/>
      <c r="I84" s="204">
        <v>15000</v>
      </c>
      <c r="J84" s="61"/>
      <c r="K84" s="73"/>
      <c r="L84" s="139"/>
    </row>
    <row r="85" spans="1:12" ht="14.25">
      <c r="A85" s="83"/>
      <c r="B85" s="22"/>
      <c r="C85" s="61" t="s">
        <v>112</v>
      </c>
      <c r="D85" s="61"/>
      <c r="E85" s="70"/>
      <c r="F85" s="65"/>
      <c r="G85" s="65">
        <v>-248329</v>
      </c>
      <c r="H85" s="65">
        <v>201085</v>
      </c>
      <c r="I85" s="71" t="s">
        <v>254</v>
      </c>
      <c r="J85" s="61"/>
      <c r="K85" s="73"/>
      <c r="L85" s="139"/>
    </row>
    <row r="86" spans="1:12" ht="14.25">
      <c r="A86" s="83"/>
      <c r="B86" s="23"/>
      <c r="C86" s="22" t="s">
        <v>113</v>
      </c>
      <c r="D86" s="61"/>
      <c r="E86" s="70"/>
      <c r="F86" s="70"/>
      <c r="G86" s="63"/>
      <c r="H86" s="63"/>
      <c r="I86" s="69">
        <f>SUM(I76:I85)</f>
        <v>184465.77</v>
      </c>
      <c r="J86" s="74">
        <f>I86</f>
        <v>184465.77</v>
      </c>
      <c r="K86" s="163" t="s">
        <v>104</v>
      </c>
      <c r="L86" s="139"/>
    </row>
    <row r="87" spans="1:12" ht="14.25">
      <c r="A87" s="83"/>
      <c r="B87" s="23"/>
      <c r="C87" s="61"/>
      <c r="D87" s="61"/>
      <c r="E87" s="70"/>
      <c r="F87" s="70"/>
      <c r="G87" s="63"/>
      <c r="H87" s="63"/>
      <c r="I87" s="65"/>
      <c r="J87" s="61"/>
      <c r="K87" s="73"/>
      <c r="L87" s="139"/>
    </row>
    <row r="88" spans="1:13" ht="15">
      <c r="A88" s="60" t="s">
        <v>118</v>
      </c>
      <c r="B88" s="3"/>
      <c r="C88" s="22"/>
      <c r="D88" s="61"/>
      <c r="E88" s="70"/>
      <c r="F88" s="70"/>
      <c r="G88" s="63"/>
      <c r="H88" s="63"/>
      <c r="I88" s="65"/>
      <c r="J88" s="81">
        <f>SUM(J51:J87)+J11</f>
        <v>23909723.75688926</v>
      </c>
      <c r="K88" s="163" t="s">
        <v>114</v>
      </c>
      <c r="L88" s="139"/>
      <c r="M88" s="52"/>
    </row>
    <row r="89" spans="1:12" ht="14.25">
      <c r="A89" s="60"/>
      <c r="B89" s="23"/>
      <c r="C89" s="61"/>
      <c r="D89" s="61"/>
      <c r="E89" s="70"/>
      <c r="F89" s="70"/>
      <c r="G89" s="63"/>
      <c r="H89" s="63"/>
      <c r="I89" s="65"/>
      <c r="J89" s="61"/>
      <c r="K89" s="73"/>
      <c r="L89" s="139"/>
    </row>
    <row r="90" spans="1:12" ht="14.25">
      <c r="A90" s="60" t="s">
        <v>120</v>
      </c>
      <c r="B90" s="23"/>
      <c r="C90" s="61"/>
      <c r="D90" s="61"/>
      <c r="E90" s="70"/>
      <c r="F90" s="70"/>
      <c r="G90" s="63"/>
      <c r="H90" s="63"/>
      <c r="I90" s="65"/>
      <c r="J90" s="61"/>
      <c r="K90" s="73"/>
      <c r="L90" s="139"/>
    </row>
    <row r="91" spans="1:12" ht="14.25">
      <c r="A91" s="60"/>
      <c r="B91" s="22" t="s">
        <v>121</v>
      </c>
      <c r="C91" s="61"/>
      <c r="D91" s="61"/>
      <c r="E91" s="70"/>
      <c r="F91" s="70"/>
      <c r="G91" s="63"/>
      <c r="H91" s="63"/>
      <c r="I91" s="65"/>
      <c r="J91" s="61"/>
      <c r="K91" s="73"/>
      <c r="L91" s="139"/>
    </row>
    <row r="92" spans="1:12" ht="14.25">
      <c r="A92" s="60"/>
      <c r="B92" s="22"/>
      <c r="C92" s="61" t="s">
        <v>122</v>
      </c>
      <c r="D92" s="61"/>
      <c r="E92" s="70"/>
      <c r="F92" s="70"/>
      <c r="G92" s="63"/>
      <c r="H92" s="63"/>
      <c r="I92" s="65"/>
      <c r="J92" s="61"/>
      <c r="K92" s="73"/>
      <c r="L92" s="139"/>
    </row>
    <row r="93" spans="1:12" ht="14.25">
      <c r="A93" s="60"/>
      <c r="B93" s="22"/>
      <c r="C93" s="61"/>
      <c r="D93" s="61" t="s">
        <v>259</v>
      </c>
      <c r="E93" s="62">
        <v>9375</v>
      </c>
      <c r="F93" s="65">
        <v>184.28</v>
      </c>
      <c r="G93" s="64"/>
      <c r="H93" s="63"/>
      <c r="I93" s="204">
        <v>1741485</v>
      </c>
      <c r="J93" s="61"/>
      <c r="K93" s="164"/>
      <c r="L93" s="139"/>
    </row>
    <row r="94" spans="1:12" ht="14.25">
      <c r="A94" s="60"/>
      <c r="B94" s="22"/>
      <c r="C94" s="61"/>
      <c r="D94" s="61" t="s">
        <v>242</v>
      </c>
      <c r="E94" s="62">
        <v>19235</v>
      </c>
      <c r="F94" s="65">
        <v>167.1</v>
      </c>
      <c r="G94" s="64"/>
      <c r="H94" s="63"/>
      <c r="I94" s="204">
        <v>2748767</v>
      </c>
      <c r="J94" s="61"/>
      <c r="K94" s="164"/>
      <c r="L94" s="139"/>
    </row>
    <row r="95" spans="1:12" ht="14.25">
      <c r="A95" s="60"/>
      <c r="B95" s="22"/>
      <c r="C95" s="61"/>
      <c r="D95" s="61" t="s">
        <v>243</v>
      </c>
      <c r="E95" s="62">
        <v>11000</v>
      </c>
      <c r="F95" s="65">
        <v>172.01</v>
      </c>
      <c r="G95" s="64"/>
      <c r="H95" s="63"/>
      <c r="I95" s="204">
        <v>1926522</v>
      </c>
      <c r="J95" s="61"/>
      <c r="K95" s="164"/>
      <c r="L95" s="139"/>
    </row>
    <row r="96" spans="1:12" ht="14.25">
      <c r="A96" s="60"/>
      <c r="B96" s="22"/>
      <c r="C96" s="61"/>
      <c r="D96" s="61" t="s">
        <v>244</v>
      </c>
      <c r="E96" s="62">
        <v>6160</v>
      </c>
      <c r="F96" s="65">
        <v>219.56</v>
      </c>
      <c r="G96" s="64"/>
      <c r="H96" s="63"/>
      <c r="I96" s="204">
        <v>1343730</v>
      </c>
      <c r="J96" s="61"/>
      <c r="K96" s="164"/>
      <c r="L96" s="139"/>
    </row>
    <row r="97" spans="1:12" ht="14.25">
      <c r="A97" s="60"/>
      <c r="B97" s="22"/>
      <c r="C97" s="61"/>
      <c r="D97" s="61" t="s">
        <v>245</v>
      </c>
      <c r="E97" s="62">
        <v>5916</v>
      </c>
      <c r="F97" s="65">
        <v>218.78</v>
      </c>
      <c r="G97" s="64"/>
      <c r="H97" s="63"/>
      <c r="I97" s="204">
        <v>1286439</v>
      </c>
      <c r="J97" s="61"/>
      <c r="K97" s="164"/>
      <c r="L97" s="139"/>
    </row>
    <row r="98" spans="1:12" ht="14.25">
      <c r="A98" s="60"/>
      <c r="B98" s="22"/>
      <c r="C98" s="22" t="s">
        <v>123</v>
      </c>
      <c r="D98" s="61"/>
      <c r="E98" s="84">
        <f>SUM(E93:E97)</f>
        <v>51686</v>
      </c>
      <c r="F98" s="69">
        <f>I98/E98</f>
        <v>175.0366250048369</v>
      </c>
      <c r="G98" s="64"/>
      <c r="H98" s="63"/>
      <c r="I98" s="69">
        <f>SUM(I93:I97)</f>
        <v>9046943</v>
      </c>
      <c r="J98" s="61"/>
      <c r="K98" s="73"/>
      <c r="L98" s="139"/>
    </row>
    <row r="99" spans="1:12" ht="14.25">
      <c r="A99" s="60"/>
      <c r="B99" s="22"/>
      <c r="C99" s="61" t="s">
        <v>124</v>
      </c>
      <c r="D99" s="61"/>
      <c r="E99" s="70"/>
      <c r="F99" s="65"/>
      <c r="G99" s="64"/>
      <c r="H99" s="63"/>
      <c r="I99" s="65"/>
      <c r="J99" s="61"/>
      <c r="K99" s="73"/>
      <c r="L99" s="139"/>
    </row>
    <row r="100" spans="1:12" ht="14.25">
      <c r="A100" s="60"/>
      <c r="B100" s="22"/>
      <c r="C100" s="61"/>
      <c r="D100" s="61" t="s">
        <v>246</v>
      </c>
      <c r="E100" s="62">
        <v>9375</v>
      </c>
      <c r="F100" s="65">
        <v>70</v>
      </c>
      <c r="G100" s="64"/>
      <c r="H100" s="63"/>
      <c r="I100" s="204">
        <f>E100*F100</f>
        <v>656250</v>
      </c>
      <c r="J100" s="61"/>
      <c r="K100" s="73"/>
      <c r="L100" s="139"/>
    </row>
    <row r="101" spans="1:12" ht="14.25">
      <c r="A101" s="60"/>
      <c r="B101" s="22"/>
      <c r="C101" s="61"/>
      <c r="D101" s="61" t="s">
        <v>247</v>
      </c>
      <c r="E101" s="62">
        <v>19235</v>
      </c>
      <c r="F101" s="65">
        <v>70</v>
      </c>
      <c r="G101" s="64"/>
      <c r="H101" s="63"/>
      <c r="I101" s="204">
        <f>E101*F101</f>
        <v>1346450</v>
      </c>
      <c r="J101" s="61"/>
      <c r="K101" s="73"/>
      <c r="L101" s="139"/>
    </row>
    <row r="102" spans="1:12" ht="14.25">
      <c r="A102" s="60"/>
      <c r="B102" s="22"/>
      <c r="C102" s="61"/>
      <c r="D102" s="61" t="s">
        <v>248</v>
      </c>
      <c r="E102" s="62">
        <v>11000</v>
      </c>
      <c r="F102" s="65">
        <v>70</v>
      </c>
      <c r="G102" s="64"/>
      <c r="H102" s="63"/>
      <c r="I102" s="204">
        <f>E102*F102</f>
        <v>770000</v>
      </c>
      <c r="J102" s="61"/>
      <c r="K102" s="73"/>
      <c r="L102" s="139"/>
    </row>
    <row r="103" spans="1:12" ht="14.25">
      <c r="A103" s="60"/>
      <c r="B103" s="22"/>
      <c r="C103" s="61"/>
      <c r="D103" s="61" t="s">
        <v>249</v>
      </c>
      <c r="E103" s="62">
        <v>6160</v>
      </c>
      <c r="F103" s="65">
        <v>70</v>
      </c>
      <c r="G103" s="64"/>
      <c r="H103" s="63"/>
      <c r="I103" s="204">
        <f>E103*F103</f>
        <v>431200</v>
      </c>
      <c r="J103" s="61"/>
      <c r="K103" s="73"/>
      <c r="L103" s="139"/>
    </row>
    <row r="104" spans="1:12" ht="14.25">
      <c r="A104" s="60"/>
      <c r="B104" s="22"/>
      <c r="C104" s="61"/>
      <c r="D104" s="61" t="s">
        <v>245</v>
      </c>
      <c r="E104" s="62">
        <v>5916</v>
      </c>
      <c r="F104" s="65">
        <v>70</v>
      </c>
      <c r="G104" s="64"/>
      <c r="H104" s="63"/>
      <c r="I104" s="204">
        <f>E104*F104</f>
        <v>414120</v>
      </c>
      <c r="J104" s="61"/>
      <c r="K104" s="73"/>
      <c r="L104" s="139"/>
    </row>
    <row r="105" spans="1:12" ht="14.25">
      <c r="A105" s="60"/>
      <c r="B105" s="22"/>
      <c r="C105" s="22" t="s">
        <v>125</v>
      </c>
      <c r="D105" s="61"/>
      <c r="E105" s="84">
        <f>SUM(E100:E104)</f>
        <v>51686</v>
      </c>
      <c r="F105" s="69">
        <v>70</v>
      </c>
      <c r="G105" s="63"/>
      <c r="H105" s="63"/>
      <c r="I105" s="69">
        <f>SUM(I100:I104)</f>
        <v>3618020</v>
      </c>
      <c r="J105" s="61"/>
      <c r="K105" s="73"/>
      <c r="L105" s="139"/>
    </row>
    <row r="106" spans="1:12" ht="14.25">
      <c r="A106" s="60"/>
      <c r="B106" s="22"/>
      <c r="C106" s="61"/>
      <c r="D106" s="61"/>
      <c r="E106" s="70"/>
      <c r="F106" s="70"/>
      <c r="G106" s="63"/>
      <c r="H106" s="63"/>
      <c r="I106" s="65"/>
      <c r="J106" s="61"/>
      <c r="K106" s="73"/>
      <c r="L106" s="139"/>
    </row>
    <row r="107" spans="1:12" ht="14.25">
      <c r="A107" s="60"/>
      <c r="B107" s="22"/>
      <c r="C107" s="22" t="s">
        <v>126</v>
      </c>
      <c r="D107" s="61"/>
      <c r="E107" s="70"/>
      <c r="F107" s="70"/>
      <c r="G107" s="63"/>
      <c r="H107" s="63"/>
      <c r="I107" s="69">
        <f>I98+I105</f>
        <v>12664963</v>
      </c>
      <c r="J107" s="74">
        <f>I107</f>
        <v>12664963</v>
      </c>
      <c r="K107" s="163" t="s">
        <v>117</v>
      </c>
      <c r="L107" s="139"/>
    </row>
    <row r="108" spans="1:12" ht="14.25">
      <c r="A108" s="60"/>
      <c r="B108" s="23"/>
      <c r="C108" s="61"/>
      <c r="D108" s="61"/>
      <c r="E108" s="70"/>
      <c r="F108" s="70"/>
      <c r="G108" s="63"/>
      <c r="H108" s="63"/>
      <c r="I108" s="65"/>
      <c r="J108" s="61"/>
      <c r="K108" s="73"/>
      <c r="L108" s="139"/>
    </row>
    <row r="109" spans="1:12" ht="14.25">
      <c r="A109" s="60"/>
      <c r="B109" s="23" t="s">
        <v>128</v>
      </c>
      <c r="C109" s="61"/>
      <c r="D109" s="61"/>
      <c r="E109" s="70"/>
      <c r="F109" s="82"/>
      <c r="G109" s="63"/>
      <c r="H109" s="63"/>
      <c r="I109" s="65"/>
      <c r="J109" s="61"/>
      <c r="K109" s="73"/>
      <c r="L109" s="139"/>
    </row>
    <row r="110" spans="1:12" ht="14.25">
      <c r="A110" s="60"/>
      <c r="B110" s="23"/>
      <c r="C110" s="61" t="s">
        <v>129</v>
      </c>
      <c r="D110" s="61"/>
      <c r="E110" s="70" t="s">
        <v>130</v>
      </c>
      <c r="F110" s="65">
        <v>500</v>
      </c>
      <c r="G110" s="63"/>
      <c r="H110" s="63"/>
      <c r="I110" s="204">
        <f>36*500</f>
        <v>18000</v>
      </c>
      <c r="J110" s="61"/>
      <c r="K110" s="73"/>
      <c r="L110" s="139"/>
    </row>
    <row r="111" spans="1:12" ht="14.25">
      <c r="A111" s="60"/>
      <c r="B111" s="23"/>
      <c r="C111" s="61" t="s">
        <v>131</v>
      </c>
      <c r="D111" s="61"/>
      <c r="E111" s="70"/>
      <c r="F111" s="70"/>
      <c r="G111" s="63"/>
      <c r="H111" s="63"/>
      <c r="I111" s="204">
        <v>25000</v>
      </c>
      <c r="J111" s="61"/>
      <c r="K111" s="73"/>
      <c r="L111" s="139"/>
    </row>
    <row r="112" spans="1:12" ht="14.25">
      <c r="A112" s="85"/>
      <c r="B112" s="86"/>
      <c r="C112" s="61" t="s">
        <v>132</v>
      </c>
      <c r="D112" s="61"/>
      <c r="E112" s="70"/>
      <c r="F112" s="70"/>
      <c r="G112" s="79"/>
      <c r="H112" s="79"/>
      <c r="I112" s="204">
        <f>ProForma!M44</f>
        <v>1353430</v>
      </c>
      <c r="J112" s="61"/>
      <c r="K112" s="73"/>
      <c r="L112" s="139"/>
    </row>
    <row r="113" spans="1:12" ht="14.25">
      <c r="A113" s="85"/>
      <c r="B113" s="86"/>
      <c r="C113" s="61" t="s">
        <v>133</v>
      </c>
      <c r="D113" s="61"/>
      <c r="E113" s="70"/>
      <c r="F113" s="70"/>
      <c r="G113" s="79"/>
      <c r="H113" s="79"/>
      <c r="I113" s="71">
        <f>(J88+J107+SUM(I110:I112,I114:I120))*0.04</f>
        <v>1588045.2930755706</v>
      </c>
      <c r="J113" s="61"/>
      <c r="K113" s="73"/>
      <c r="L113" s="139"/>
    </row>
    <row r="114" spans="1:12" ht="14.25">
      <c r="A114" s="85"/>
      <c r="B114" s="61"/>
      <c r="C114" s="61" t="s">
        <v>134</v>
      </c>
      <c r="D114" s="61"/>
      <c r="E114" s="70" t="s">
        <v>257</v>
      </c>
      <c r="F114" s="79" t="s">
        <v>258</v>
      </c>
      <c r="G114" s="63"/>
      <c r="H114" s="63"/>
      <c r="I114" s="204">
        <v>1376617.75</v>
      </c>
      <c r="J114" s="61"/>
      <c r="K114" s="73"/>
      <c r="L114" s="139"/>
    </row>
    <row r="115" spans="1:12" ht="14.25">
      <c r="A115" s="85"/>
      <c r="B115" s="86"/>
      <c r="C115" s="61" t="s">
        <v>135</v>
      </c>
      <c r="D115" s="61"/>
      <c r="E115" s="70"/>
      <c r="F115" s="79"/>
      <c r="G115" s="63"/>
      <c r="H115" s="63"/>
      <c r="I115" s="204">
        <v>75000</v>
      </c>
      <c r="J115" s="61"/>
      <c r="K115" s="73"/>
      <c r="L115" s="139"/>
    </row>
    <row r="116" spans="1:12" ht="14.25">
      <c r="A116" s="85"/>
      <c r="B116" s="86"/>
      <c r="C116" s="61" t="s">
        <v>136</v>
      </c>
      <c r="D116" s="61"/>
      <c r="E116" s="70" t="s">
        <v>137</v>
      </c>
      <c r="F116" s="65">
        <v>5000</v>
      </c>
      <c r="G116" s="63"/>
      <c r="H116" s="63"/>
      <c r="I116" s="204">
        <v>85000</v>
      </c>
      <c r="J116" s="61"/>
      <c r="K116" s="73"/>
      <c r="L116" s="139"/>
    </row>
    <row r="117" spans="1:12" ht="14.25">
      <c r="A117" s="85"/>
      <c r="B117" s="86"/>
      <c r="C117" s="61" t="s">
        <v>138</v>
      </c>
      <c r="D117" s="61"/>
      <c r="E117" s="70" t="s">
        <v>130</v>
      </c>
      <c r="F117" s="65">
        <v>1000</v>
      </c>
      <c r="G117" s="63"/>
      <c r="H117" s="63"/>
      <c r="I117" s="204">
        <v>36000</v>
      </c>
      <c r="J117" s="61"/>
      <c r="K117" s="73"/>
      <c r="L117" s="139"/>
    </row>
    <row r="118" spans="1:12" ht="14.25">
      <c r="A118" s="85"/>
      <c r="B118" s="86"/>
      <c r="C118" s="61" t="s">
        <v>139</v>
      </c>
      <c r="D118" s="61"/>
      <c r="E118" s="70"/>
      <c r="F118" s="70"/>
      <c r="G118" s="63"/>
      <c r="H118" s="63"/>
      <c r="I118" s="65"/>
      <c r="J118" s="61"/>
      <c r="K118" s="73"/>
      <c r="L118" s="139"/>
    </row>
    <row r="119" spans="1:12" ht="14.25">
      <c r="A119" s="85"/>
      <c r="B119" s="86"/>
      <c r="C119" s="61" t="s">
        <v>140</v>
      </c>
      <c r="D119" s="61"/>
      <c r="E119" s="70"/>
      <c r="F119" s="70"/>
      <c r="G119" s="63"/>
      <c r="H119" s="63"/>
      <c r="I119" s="65"/>
      <c r="J119" s="61"/>
      <c r="K119" s="73"/>
      <c r="L119" s="139"/>
    </row>
    <row r="120" spans="1:12" ht="14.25">
      <c r="A120" s="85"/>
      <c r="B120" s="86"/>
      <c r="C120" s="61" t="s">
        <v>141</v>
      </c>
      <c r="D120" s="61"/>
      <c r="E120" s="70" t="s">
        <v>220</v>
      </c>
      <c r="F120" s="70"/>
      <c r="G120" s="63"/>
      <c r="H120" s="63"/>
      <c r="I120" s="71">
        <f>'Land Acquisition'!N37*2</f>
        <v>157397.82</v>
      </c>
      <c r="J120" s="61"/>
      <c r="K120" s="73"/>
      <c r="L120" s="139"/>
    </row>
    <row r="121" spans="1:12" ht="14.25" customHeight="1">
      <c r="A121" s="85"/>
      <c r="B121" s="86"/>
      <c r="C121" s="22" t="s">
        <v>142</v>
      </c>
      <c r="D121" s="22"/>
      <c r="E121" s="40"/>
      <c r="F121" s="70"/>
      <c r="G121" s="63"/>
      <c r="H121" s="63"/>
      <c r="I121" s="69">
        <f>SUM(I110:I120)</f>
        <v>4714490.863075571</v>
      </c>
      <c r="J121" s="74">
        <f>I121</f>
        <v>4714490.863075571</v>
      </c>
      <c r="K121" s="163" t="s">
        <v>119</v>
      </c>
      <c r="L121" s="139"/>
    </row>
    <row r="122" spans="1:12" ht="14.25" customHeight="1">
      <c r="A122" s="85"/>
      <c r="B122" s="86"/>
      <c r="C122" s="22"/>
      <c r="D122" s="22"/>
      <c r="E122" s="40"/>
      <c r="F122" s="70"/>
      <c r="G122" s="63"/>
      <c r="H122" s="63"/>
      <c r="I122" s="69"/>
      <c r="J122" s="74"/>
      <c r="K122" s="73"/>
      <c r="L122" s="139"/>
    </row>
    <row r="123" spans="1:12" ht="14.25" customHeight="1">
      <c r="A123" s="85"/>
      <c r="B123" s="23" t="s">
        <v>143</v>
      </c>
      <c r="C123" s="22"/>
      <c r="D123" s="22"/>
      <c r="E123" s="40"/>
      <c r="F123" s="70"/>
      <c r="G123" s="63"/>
      <c r="H123" s="63"/>
      <c r="I123" s="69"/>
      <c r="J123" s="81">
        <f>J107+J121</f>
        <v>17379453.86307557</v>
      </c>
      <c r="K123" s="163" t="s">
        <v>127</v>
      </c>
      <c r="L123" s="139"/>
    </row>
    <row r="124" spans="1:12" ht="14.25" customHeight="1">
      <c r="A124" s="85"/>
      <c r="B124" s="23"/>
      <c r="C124" s="22"/>
      <c r="D124" s="22"/>
      <c r="E124" s="40"/>
      <c r="F124" s="70"/>
      <c r="G124" s="63"/>
      <c r="H124" s="63"/>
      <c r="I124" s="69"/>
      <c r="J124" s="81"/>
      <c r="K124" s="73"/>
      <c r="L124" s="139"/>
    </row>
    <row r="125" spans="1:12" ht="14.25" customHeight="1">
      <c r="A125" s="60" t="s">
        <v>276</v>
      </c>
      <c r="B125" s="23"/>
      <c r="C125" s="22"/>
      <c r="D125" s="22"/>
      <c r="E125" s="40"/>
      <c r="F125" s="70"/>
      <c r="G125" s="63"/>
      <c r="H125" s="63"/>
      <c r="I125" s="69"/>
      <c r="J125" s="81">
        <f>(J73+J86+J107)*0.09</f>
        <v>1242748.5993</v>
      </c>
      <c r="K125" s="73"/>
      <c r="L125" s="139"/>
    </row>
    <row r="126" spans="1:12" ht="14.25">
      <c r="A126" s="85"/>
      <c r="B126" s="86"/>
      <c r="C126" s="61"/>
      <c r="D126" s="61"/>
      <c r="E126" s="70"/>
      <c r="F126" s="70"/>
      <c r="G126" s="63"/>
      <c r="H126" s="63"/>
      <c r="I126" s="65"/>
      <c r="J126" s="22"/>
      <c r="K126" s="73"/>
      <c r="L126" s="139"/>
    </row>
    <row r="127" spans="1:12" ht="15">
      <c r="A127" s="87" t="s">
        <v>144</v>
      </c>
      <c r="B127" s="23"/>
      <c r="C127" s="61"/>
      <c r="D127" s="61"/>
      <c r="E127" s="70"/>
      <c r="F127" s="70"/>
      <c r="G127" s="63"/>
      <c r="H127" s="63"/>
      <c r="I127" s="65"/>
      <c r="J127" s="81">
        <f>J88+J123+J125</f>
        <v>42531926.21926483</v>
      </c>
      <c r="K127" s="73"/>
      <c r="L127" s="139"/>
    </row>
    <row r="128" spans="1:11" ht="14.25" thickBot="1">
      <c r="A128" s="88"/>
      <c r="B128" s="89"/>
      <c r="C128" s="90"/>
      <c r="D128" s="90"/>
      <c r="E128" s="91"/>
      <c r="F128" s="91"/>
      <c r="G128" s="92"/>
      <c r="H128" s="92"/>
      <c r="I128" s="93"/>
      <c r="J128" s="94"/>
      <c r="K128" s="96"/>
    </row>
    <row r="129" spans="1:10" ht="14.25">
      <c r="A129" s="2"/>
      <c r="B129" s="2"/>
      <c r="C129" s="97"/>
      <c r="D129" s="97"/>
      <c r="E129" s="98"/>
      <c r="F129" s="98"/>
      <c r="G129" s="99"/>
      <c r="H129" s="99"/>
      <c r="I129" s="100"/>
      <c r="J129" s="97"/>
    </row>
    <row r="130" ht="14.25">
      <c r="B130" s="101">
        <v>43543</v>
      </c>
    </row>
  </sheetData>
  <sheetProtection/>
  <printOptions/>
  <pageMargins left="0.45" right="0.45" top="0" bottom="0" header="0.3" footer="0.3"/>
  <pageSetup fitToHeight="1" fitToWidth="1" horizontalDpi="600" verticalDpi="600" orientation="portrait" paperSize="17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zoomScale="80" zoomScaleNormal="80" zoomScalePageLayoutView="0" workbookViewId="0" topLeftCell="A1">
      <selection activeCell="O19" sqref="O19:O24"/>
    </sheetView>
  </sheetViews>
  <sheetFormatPr defaultColWidth="9.140625" defaultRowHeight="15"/>
  <cols>
    <col min="1" max="1" width="60.140625" style="0" customWidth="1"/>
    <col min="5" max="5" width="18.140625" style="0" bestFit="1" customWidth="1"/>
    <col min="6" max="6" width="13.140625" style="0" customWidth="1"/>
    <col min="8" max="8" width="10.421875" style="125" customWidth="1"/>
    <col min="9" max="9" width="28.00390625" style="0" customWidth="1"/>
    <col min="10" max="10" width="10.421875" style="0" customWidth="1"/>
    <col min="11" max="11" width="10.00390625" style="0" customWidth="1"/>
    <col min="12" max="12" width="22.00390625" style="0" customWidth="1"/>
    <col min="13" max="13" width="19.00390625" style="0" customWidth="1"/>
    <col min="14" max="14" width="5.7109375" style="0" customWidth="1"/>
    <col min="15" max="15" width="14.57421875" style="0" customWidth="1"/>
    <col min="16" max="16" width="9.00390625" style="0" customWidth="1"/>
    <col min="17" max="17" width="23.57421875" style="122" customWidth="1"/>
    <col min="18" max="18" width="21.421875" style="0" customWidth="1"/>
    <col min="19" max="19" width="21.140625" style="125" customWidth="1"/>
    <col min="20" max="20" width="18.421875" style="0" customWidth="1"/>
  </cols>
  <sheetData>
    <row r="1" spans="1:21" ht="30">
      <c r="A1" s="191" t="s">
        <v>41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110"/>
      <c r="Q1" s="111"/>
      <c r="R1" s="110"/>
      <c r="S1" s="112"/>
      <c r="T1" s="21"/>
      <c r="U1" s="21"/>
    </row>
    <row r="2" spans="1:21" ht="25.5">
      <c r="A2" s="113" t="s">
        <v>269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  <c r="P2" s="110"/>
      <c r="Q2" s="111"/>
      <c r="R2" s="110"/>
      <c r="S2" s="112"/>
      <c r="T2" s="21"/>
      <c r="U2" s="21"/>
    </row>
    <row r="3" spans="1:19" s="180" customFormat="1" ht="25.5">
      <c r="A3" s="113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11"/>
      <c r="R3" s="141"/>
      <c r="S3" s="125"/>
    </row>
    <row r="4" spans="1:21" ht="18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P4" s="110"/>
      <c r="Q4" s="111"/>
      <c r="R4" s="110"/>
      <c r="S4" s="112"/>
      <c r="T4" s="21"/>
      <c r="U4" s="21"/>
    </row>
    <row r="5" spans="1:21" ht="18">
      <c r="A5" s="140" t="s">
        <v>250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  <c r="R5" s="110"/>
      <c r="S5" s="112"/>
      <c r="T5" s="21"/>
      <c r="U5" s="21"/>
    </row>
    <row r="6" spans="1:21" ht="18">
      <c r="A6" s="140" t="s">
        <v>251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  <c r="R6" s="110"/>
      <c r="S6" s="112"/>
      <c r="T6" s="21"/>
      <c r="U6" s="21"/>
    </row>
    <row r="7" spans="1:21" ht="18">
      <c r="A7" s="140" t="s">
        <v>154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  <c r="R7" s="110"/>
      <c r="S7" s="112"/>
      <c r="T7" s="21"/>
      <c r="U7" s="21"/>
    </row>
    <row r="8" spans="1:21" ht="18">
      <c r="A8" s="140" t="s">
        <v>155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1"/>
      <c r="R8" s="110"/>
      <c r="S8" s="112"/>
      <c r="T8" s="21"/>
      <c r="U8" s="21"/>
    </row>
    <row r="9" spans="1:21" ht="18">
      <c r="A9" s="140" t="s">
        <v>260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1"/>
      <c r="R9" s="110"/>
      <c r="S9" s="112"/>
      <c r="T9" s="21"/>
      <c r="U9" s="21"/>
    </row>
    <row r="10" spans="1:21" ht="18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  <c r="R10" s="110"/>
      <c r="S10" s="112"/>
      <c r="T10" s="21"/>
      <c r="U10" s="21"/>
    </row>
    <row r="11" spans="1:21" ht="22.5">
      <c r="A11" s="173" t="s">
        <v>156</v>
      </c>
      <c r="B11" s="110"/>
      <c r="C11" s="110"/>
      <c r="D11" s="110"/>
      <c r="E11" s="118" t="s">
        <v>157</v>
      </c>
      <c r="F11" s="118"/>
      <c r="G11" s="21"/>
      <c r="H11" s="110"/>
      <c r="I11" s="173" t="s">
        <v>158</v>
      </c>
      <c r="J11" s="110"/>
      <c r="K11" s="110"/>
      <c r="L11" s="110"/>
      <c r="M11" s="118"/>
      <c r="N11" s="118"/>
      <c r="O11" s="110"/>
      <c r="P11" s="110"/>
      <c r="Q11" s="115" t="s">
        <v>202</v>
      </c>
      <c r="R11" s="110"/>
      <c r="S11" s="112"/>
      <c r="T11" s="21"/>
      <c r="U11" s="21"/>
    </row>
    <row r="12" spans="1:21" ht="18">
      <c r="A12" s="110" t="s">
        <v>252</v>
      </c>
      <c r="B12" s="110"/>
      <c r="C12" s="110"/>
      <c r="D12" s="110"/>
      <c r="E12" s="110"/>
      <c r="F12" s="21"/>
      <c r="G12" s="21"/>
      <c r="H12" s="110"/>
      <c r="I12" s="110"/>
      <c r="J12" s="110"/>
      <c r="K12" s="110"/>
      <c r="L12" s="110"/>
      <c r="M12" s="110"/>
      <c r="N12" s="110"/>
      <c r="O12" s="110"/>
      <c r="P12" s="110"/>
      <c r="Q12" s="111"/>
      <c r="R12" s="110"/>
      <c r="S12" s="112"/>
      <c r="T12" s="21"/>
      <c r="U12" s="21"/>
    </row>
    <row r="13" spans="1:21" ht="18">
      <c r="A13" s="140" t="s">
        <v>159</v>
      </c>
      <c r="B13" s="110"/>
      <c r="C13" s="110"/>
      <c r="D13" s="110"/>
      <c r="E13" s="120">
        <f>'Cost Summary'!J11</f>
        <v>11977931.448489264</v>
      </c>
      <c r="F13" s="174" t="s">
        <v>58</v>
      </c>
      <c r="G13" s="110"/>
      <c r="H13" s="110"/>
      <c r="I13" s="140" t="s">
        <v>167</v>
      </c>
      <c r="J13" s="110"/>
      <c r="K13" s="110"/>
      <c r="L13" s="110"/>
      <c r="M13" s="110"/>
      <c r="N13" s="110"/>
      <c r="O13" s="110"/>
      <c r="P13" s="110"/>
      <c r="Q13" s="114" t="s">
        <v>161</v>
      </c>
      <c r="R13" s="118"/>
      <c r="S13" s="119"/>
      <c r="T13" s="120">
        <f>E31</f>
        <v>42531926.21926483</v>
      </c>
      <c r="U13" s="21"/>
    </row>
    <row r="14" spans="1:21" ht="18">
      <c r="A14" s="110"/>
      <c r="B14" s="21"/>
      <c r="C14" s="21"/>
      <c r="D14" s="21"/>
      <c r="E14" s="126"/>
      <c r="F14" s="21"/>
      <c r="G14" s="21"/>
      <c r="H14" s="110"/>
      <c r="I14" s="110" t="s">
        <v>264</v>
      </c>
      <c r="J14" s="21"/>
      <c r="K14" s="21"/>
      <c r="L14" s="21"/>
      <c r="M14" s="120">
        <f>(15656800+20561400)/2</f>
        <v>18109100</v>
      </c>
      <c r="N14" s="120"/>
      <c r="O14" s="110"/>
      <c r="S14" s="112"/>
      <c r="T14" s="120"/>
      <c r="U14" s="21"/>
    </row>
    <row r="15" spans="1:21" ht="18">
      <c r="A15" s="140" t="s">
        <v>162</v>
      </c>
      <c r="B15" s="110"/>
      <c r="C15" s="110"/>
      <c r="D15" s="110"/>
      <c r="E15" s="110"/>
      <c r="F15" s="110"/>
      <c r="G15" s="110"/>
      <c r="H15" s="110"/>
      <c r="I15" s="110" t="s">
        <v>265</v>
      </c>
      <c r="J15" s="110"/>
      <c r="K15" s="110"/>
      <c r="L15" s="110"/>
      <c r="M15" s="126">
        <f>(6975600+9161200)/2</f>
        <v>8068400</v>
      </c>
      <c r="N15" s="126"/>
      <c r="O15" s="190"/>
      <c r="P15" s="110"/>
      <c r="Q15" s="140" t="s">
        <v>216</v>
      </c>
      <c r="R15" s="110"/>
      <c r="S15" s="112"/>
      <c r="T15" s="120"/>
      <c r="U15" s="21"/>
    </row>
    <row r="16" spans="1:21" ht="18">
      <c r="A16" s="110" t="s">
        <v>149</v>
      </c>
      <c r="B16" s="123"/>
      <c r="C16" s="123"/>
      <c r="D16" s="21"/>
      <c r="E16" s="124">
        <f>'Cost Summary'!J34</f>
        <v>4941970.98</v>
      </c>
      <c r="F16" s="174" t="s">
        <v>76</v>
      </c>
      <c r="G16" s="21"/>
      <c r="H16" s="112"/>
      <c r="I16" s="140" t="s">
        <v>172</v>
      </c>
      <c r="J16" s="110"/>
      <c r="K16" s="110"/>
      <c r="L16" s="110"/>
      <c r="M16" s="128">
        <f>SUM(M14:M15)</f>
        <v>26177500</v>
      </c>
      <c r="N16" s="132" t="s">
        <v>262</v>
      </c>
      <c r="O16" s="189">
        <f>M16/51686</f>
        <v>506.471771853113</v>
      </c>
      <c r="P16" s="21"/>
      <c r="Q16" s="110" t="s">
        <v>163</v>
      </c>
      <c r="R16" s="110"/>
      <c r="S16" s="127"/>
      <c r="T16" s="120">
        <f>-SUM('Cost Allocation'!E6:E10)</f>
        <v>-5937931.448489263</v>
      </c>
      <c r="U16" s="21"/>
    </row>
    <row r="17" spans="1:21" ht="18">
      <c r="A17" s="110" t="s">
        <v>164</v>
      </c>
      <c r="B17" s="21"/>
      <c r="C17" s="21"/>
      <c r="D17" s="21"/>
      <c r="E17" s="124">
        <f>'Cost Summary'!J41</f>
        <v>1605383.5584</v>
      </c>
      <c r="F17" s="174" t="s">
        <v>82</v>
      </c>
      <c r="G17" s="21"/>
      <c r="H17" s="112"/>
      <c r="I17" s="110"/>
      <c r="J17" s="110"/>
      <c r="K17" s="110"/>
      <c r="L17" s="110"/>
      <c r="M17" s="110"/>
      <c r="N17" s="110"/>
      <c r="O17" s="21"/>
      <c r="P17" s="110"/>
      <c r="Q17" s="110" t="s">
        <v>165</v>
      </c>
      <c r="R17" s="110"/>
      <c r="S17" s="129"/>
      <c r="T17" s="120">
        <f>-SUM('Cost Allocation'!E14:E17,'Cost Allocation'!E23:E32)</f>
        <v>-993761.7400000001</v>
      </c>
      <c r="U17" s="21"/>
    </row>
    <row r="18" spans="1:21" ht="18">
      <c r="A18" s="110" t="s">
        <v>166</v>
      </c>
      <c r="B18" s="21"/>
      <c r="C18" s="21"/>
      <c r="D18" s="21"/>
      <c r="E18" s="124">
        <f>'Cost Summary'!J49</f>
        <v>3883799</v>
      </c>
      <c r="F18" s="174" t="s">
        <v>83</v>
      </c>
      <c r="G18" s="21"/>
      <c r="H18" s="112"/>
      <c r="I18" s="140" t="s">
        <v>175</v>
      </c>
      <c r="J18" s="110"/>
      <c r="K18" s="110"/>
      <c r="L18" s="110"/>
      <c r="M18" s="110"/>
      <c r="N18" s="110"/>
      <c r="O18" s="110"/>
      <c r="P18" s="110"/>
      <c r="Q18" s="110" t="s">
        <v>168</v>
      </c>
      <c r="R18" s="110"/>
      <c r="S18" s="130"/>
      <c r="T18" s="120">
        <v>-58320</v>
      </c>
      <c r="U18" s="21"/>
    </row>
    <row r="19" spans="1:21" ht="18">
      <c r="A19" s="110" t="s">
        <v>88</v>
      </c>
      <c r="B19" s="110"/>
      <c r="C19" s="110"/>
      <c r="D19" s="110"/>
      <c r="E19" s="124">
        <f>'Cost Summary'!J65</f>
        <v>357284</v>
      </c>
      <c r="F19" s="174" t="s">
        <v>87</v>
      </c>
      <c r="G19" s="21"/>
      <c r="H19" s="110"/>
      <c r="I19" s="110" t="s">
        <v>177</v>
      </c>
      <c r="J19" s="110"/>
      <c r="K19" s="110"/>
      <c r="L19" s="110"/>
      <c r="M19" s="120">
        <f>(565810+743065)/2</f>
        <v>654437.5</v>
      </c>
      <c r="N19" s="120"/>
      <c r="O19" s="134">
        <f>M19/$M$24</f>
        <v>0.5116638442329313</v>
      </c>
      <c r="P19" s="110"/>
      <c r="Q19" s="110" t="s">
        <v>235</v>
      </c>
      <c r="T19" s="120">
        <f>-SUM('Cost Allocation'!E35:E37)</f>
        <v>-334330.57</v>
      </c>
      <c r="U19" s="21"/>
    </row>
    <row r="20" spans="1:21" ht="18">
      <c r="A20" s="110" t="s">
        <v>170</v>
      </c>
      <c r="B20" s="110"/>
      <c r="C20" s="110"/>
      <c r="D20" s="110"/>
      <c r="E20" s="124">
        <f>'Cost Summary'!J73</f>
        <v>958889</v>
      </c>
      <c r="F20" s="174" t="s">
        <v>98</v>
      </c>
      <c r="G20" s="110"/>
      <c r="H20" s="110"/>
      <c r="I20" s="110" t="s">
        <v>179</v>
      </c>
      <c r="J20" s="110"/>
      <c r="K20" s="110"/>
      <c r="L20" s="110"/>
      <c r="M20" s="120">
        <f>(295092+392895)/2</f>
        <v>343993.5</v>
      </c>
      <c r="N20" s="120"/>
      <c r="O20" s="134">
        <f>M20/$M$24</f>
        <v>0.2689470523940649</v>
      </c>
      <c r="P20" s="110"/>
      <c r="Q20" s="110" t="s">
        <v>169</v>
      </c>
      <c r="R20" s="110"/>
      <c r="S20" s="112"/>
      <c r="T20" s="120">
        <f>-'Cost Allocation'!E38</f>
        <v>-251821.32840000003</v>
      </c>
      <c r="U20" s="21"/>
    </row>
    <row r="21" spans="1:21" ht="18">
      <c r="A21" s="110" t="s">
        <v>105</v>
      </c>
      <c r="B21" s="110"/>
      <c r="C21" s="110"/>
      <c r="D21" s="110"/>
      <c r="E21" s="124">
        <f>'Cost Summary'!J86</f>
        <v>184465.77</v>
      </c>
      <c r="F21" s="174" t="s">
        <v>104</v>
      </c>
      <c r="G21" s="110"/>
      <c r="H21" s="110"/>
      <c r="I21" s="110" t="s">
        <v>181</v>
      </c>
      <c r="J21" s="110"/>
      <c r="K21" s="110"/>
      <c r="L21" s="110"/>
      <c r="M21" s="120">
        <f>145290-52832</f>
        <v>92458</v>
      </c>
      <c r="N21" s="120"/>
      <c r="O21" s="134">
        <f>M21/$M$24</f>
        <v>0.0722871408042607</v>
      </c>
      <c r="P21" s="110"/>
      <c r="Q21" s="110" t="s">
        <v>171</v>
      </c>
      <c r="R21" s="110"/>
      <c r="S21" s="112"/>
      <c r="T21" s="120">
        <f>-'Cost Allocation'!E97</f>
        <v>-988045.2930755706</v>
      </c>
      <c r="U21" s="21"/>
    </row>
    <row r="22" spans="1:21" ht="18">
      <c r="A22" s="110"/>
      <c r="B22" s="110"/>
      <c r="C22" s="110"/>
      <c r="D22" s="110"/>
      <c r="E22" s="133"/>
      <c r="F22" s="174"/>
      <c r="G22" s="110"/>
      <c r="H22" s="110"/>
      <c r="I22" s="110" t="s">
        <v>261</v>
      </c>
      <c r="J22" s="110"/>
      <c r="K22" s="110"/>
      <c r="L22" s="110"/>
      <c r="M22" s="175">
        <v>100985.2</v>
      </c>
      <c r="N22" s="175"/>
      <c r="O22" s="172">
        <f>M22/$M$24</f>
        <v>0.07895402638545532</v>
      </c>
      <c r="P22" s="110"/>
      <c r="Q22" s="110" t="s">
        <v>173</v>
      </c>
      <c r="R22" s="110"/>
      <c r="S22" s="127"/>
      <c r="T22" s="126">
        <f>-('Cost Allocation'!E74+'Cost Allocation'!E104)</f>
        <v>-196363.59</v>
      </c>
      <c r="U22" s="21"/>
    </row>
    <row r="23" spans="1:21" ht="18">
      <c r="A23" s="140" t="s">
        <v>174</v>
      </c>
      <c r="B23" s="110"/>
      <c r="C23" s="110"/>
      <c r="D23" s="110"/>
      <c r="E23" s="128">
        <f>'Cost Summary'!J88</f>
        <v>23909723.75688926</v>
      </c>
      <c r="F23" s="174" t="s">
        <v>114</v>
      </c>
      <c r="G23" s="110"/>
      <c r="H23" s="110"/>
      <c r="I23" s="110" t="s">
        <v>253</v>
      </c>
      <c r="J23" s="21"/>
      <c r="K23" s="21"/>
      <c r="L23" s="21"/>
      <c r="M23" s="176">
        <f>((1141509+1416567)/2)-M19-M20-M21-M22</f>
        <v>87163.8</v>
      </c>
      <c r="N23" s="176"/>
      <c r="O23" s="171">
        <f>M23/$M$24</f>
        <v>0.06814793618328775</v>
      </c>
      <c r="P23" s="21"/>
      <c r="Q23" s="110" t="s">
        <v>176</v>
      </c>
      <c r="R23" s="110"/>
      <c r="S23" s="127"/>
      <c r="T23" s="120">
        <f>SUM(T16:T22)</f>
        <v>-8760573.969964834</v>
      </c>
      <c r="U23" s="21"/>
    </row>
    <row r="24" spans="1:21" ht="18">
      <c r="A24" s="21"/>
      <c r="B24" s="21"/>
      <c r="C24" s="21"/>
      <c r="D24" s="21"/>
      <c r="E24" s="21"/>
      <c r="F24" s="174"/>
      <c r="G24" s="21"/>
      <c r="H24" s="110"/>
      <c r="I24" s="140" t="s">
        <v>184</v>
      </c>
      <c r="J24" s="110"/>
      <c r="K24" s="110"/>
      <c r="L24" s="110"/>
      <c r="M24" s="128">
        <f>SUM(M19:M23)</f>
        <v>1279038</v>
      </c>
      <c r="N24" s="132" t="s">
        <v>262</v>
      </c>
      <c r="O24" s="135">
        <f>SUM(O19:O23)</f>
        <v>1</v>
      </c>
      <c r="P24" s="110"/>
      <c r="U24" s="21"/>
    </row>
    <row r="25" spans="1:21" ht="18">
      <c r="A25" s="140" t="s">
        <v>178</v>
      </c>
      <c r="B25" s="21"/>
      <c r="C25" s="21"/>
      <c r="D25" s="21"/>
      <c r="E25" s="21"/>
      <c r="F25" s="174"/>
      <c r="G25" s="134"/>
      <c r="H25" s="110"/>
      <c r="I25" s="110"/>
      <c r="J25" s="110"/>
      <c r="K25" s="110"/>
      <c r="L25" s="110"/>
      <c r="M25" s="110"/>
      <c r="N25" s="110"/>
      <c r="O25" s="110"/>
      <c r="P25" s="110"/>
      <c r="Q25" s="140" t="s">
        <v>180</v>
      </c>
      <c r="R25" s="110"/>
      <c r="S25" s="127"/>
      <c r="T25" s="128">
        <f>T13+T23</f>
        <v>33771352.249299996</v>
      </c>
      <c r="U25" s="21"/>
    </row>
    <row r="26" spans="1:21" ht="18">
      <c r="A26" s="110" t="s">
        <v>121</v>
      </c>
      <c r="B26" s="21"/>
      <c r="C26" s="21"/>
      <c r="D26" s="21"/>
      <c r="E26" s="120">
        <f>'Cost Summary'!J107</f>
        <v>12664963</v>
      </c>
      <c r="F26" s="174" t="s">
        <v>117</v>
      </c>
      <c r="G26" s="21"/>
      <c r="H26" s="110"/>
      <c r="I26" s="140" t="s">
        <v>186</v>
      </c>
      <c r="J26" s="21"/>
      <c r="K26" s="21"/>
      <c r="L26" s="21"/>
      <c r="M26" s="21"/>
      <c r="N26" s="21"/>
      <c r="O26" s="110"/>
      <c r="P26" s="110"/>
      <c r="Q26" s="110"/>
      <c r="R26" s="110"/>
      <c r="S26" s="129"/>
      <c r="T26" s="120"/>
      <c r="U26" s="21"/>
    </row>
    <row r="27" spans="1:21" ht="18">
      <c r="A27" s="110" t="s">
        <v>128</v>
      </c>
      <c r="B27" s="21"/>
      <c r="C27" s="21"/>
      <c r="D27" s="21"/>
      <c r="E27" s="133">
        <f>'Cost Summary'!J121</f>
        <v>4714490.863075571</v>
      </c>
      <c r="F27" s="174" t="s">
        <v>119</v>
      </c>
      <c r="G27" s="21"/>
      <c r="H27" s="110"/>
      <c r="I27" s="140" t="s">
        <v>266</v>
      </c>
      <c r="J27" s="110"/>
      <c r="K27" s="110"/>
      <c r="L27" s="110"/>
      <c r="M27" s="128">
        <v>16923275</v>
      </c>
      <c r="N27" s="128"/>
      <c r="O27" s="110"/>
      <c r="P27" s="110"/>
      <c r="Q27" s="110" t="s">
        <v>182</v>
      </c>
      <c r="R27" s="110"/>
      <c r="S27" s="130"/>
      <c r="T27" s="120">
        <f>E33</f>
        <v>-16923275</v>
      </c>
      <c r="U27" s="21"/>
    </row>
    <row r="28" spans="1:21" ht="18">
      <c r="A28" s="140" t="s">
        <v>183</v>
      </c>
      <c r="B28" s="21"/>
      <c r="C28" s="21"/>
      <c r="D28" s="21"/>
      <c r="E28" s="128">
        <f>'Cost Summary'!J123</f>
        <v>17379453.86307557</v>
      </c>
      <c r="F28" s="174" t="s">
        <v>127</v>
      </c>
      <c r="G28" s="21"/>
      <c r="H28" s="110"/>
      <c r="I28" s="21"/>
      <c r="J28" s="21"/>
      <c r="K28" s="21"/>
      <c r="L28" s="21"/>
      <c r="M28" s="21"/>
      <c r="N28" s="21"/>
      <c r="O28" s="110"/>
      <c r="P28" s="110"/>
      <c r="Q28" s="110"/>
      <c r="R28" s="110"/>
      <c r="S28" s="112"/>
      <c r="T28" s="120"/>
      <c r="U28" s="21"/>
    </row>
    <row r="29" spans="1:21" ht="18">
      <c r="A29" s="21"/>
      <c r="B29" s="21"/>
      <c r="C29" s="21"/>
      <c r="D29" s="21"/>
      <c r="E29" s="21"/>
      <c r="F29" s="21"/>
      <c r="G29" s="21"/>
      <c r="H29" s="110"/>
      <c r="I29" s="140" t="s">
        <v>188</v>
      </c>
      <c r="J29" s="110"/>
      <c r="K29" s="110"/>
      <c r="L29" s="110"/>
      <c r="M29" s="110"/>
      <c r="N29" s="110"/>
      <c r="O29" s="140"/>
      <c r="P29" s="110"/>
      <c r="Q29" s="110" t="s">
        <v>185</v>
      </c>
      <c r="R29" s="110"/>
      <c r="S29" s="112"/>
      <c r="T29" s="120">
        <f>E34</f>
        <v>-18850000</v>
      </c>
      <c r="U29" s="21"/>
    </row>
    <row r="30" spans="1:21" ht="18">
      <c r="A30" s="110" t="s">
        <v>277</v>
      </c>
      <c r="B30" s="110"/>
      <c r="C30" s="110"/>
      <c r="D30" s="110"/>
      <c r="E30" s="126">
        <f>'Cost Summary'!J125</f>
        <v>1242748.5993</v>
      </c>
      <c r="F30" s="177"/>
      <c r="G30" s="21"/>
      <c r="H30" s="110"/>
      <c r="I30" s="110" t="s">
        <v>272</v>
      </c>
      <c r="J30" s="110"/>
      <c r="K30" s="110"/>
      <c r="L30" s="110"/>
      <c r="M30" s="120">
        <f>31378*38</f>
        <v>1192364</v>
      </c>
      <c r="N30" s="120"/>
      <c r="O30" s="120"/>
      <c r="P30" s="110"/>
      <c r="Q30"/>
      <c r="R30" s="110"/>
      <c r="S30" s="127"/>
      <c r="T30" s="120"/>
      <c r="U30" s="21"/>
    </row>
    <row r="31" spans="1:21" ht="18">
      <c r="A31" s="140" t="s">
        <v>187</v>
      </c>
      <c r="B31" s="110"/>
      <c r="C31" s="110"/>
      <c r="D31" s="110"/>
      <c r="E31" s="128">
        <f>'Cost Summary'!J127</f>
        <v>42531926.21926483</v>
      </c>
      <c r="F31" s="132"/>
      <c r="G31" s="177"/>
      <c r="H31" s="110"/>
      <c r="I31" s="110" t="s">
        <v>273</v>
      </c>
      <c r="J31" s="140"/>
      <c r="K31" s="140"/>
      <c r="L31" s="140"/>
      <c r="M31" s="126">
        <f>20308*36</f>
        <v>731088</v>
      </c>
      <c r="N31" s="126"/>
      <c r="O31" s="126"/>
      <c r="P31" s="110"/>
      <c r="Q31" s="114" t="s">
        <v>267</v>
      </c>
      <c r="R31" s="120"/>
      <c r="S31" s="127"/>
      <c r="T31" s="136" t="s">
        <v>254</v>
      </c>
      <c r="U31" s="21"/>
    </row>
    <row r="32" spans="1:21" ht="18">
      <c r="A32" s="110"/>
      <c r="B32" s="110"/>
      <c r="C32" s="110"/>
      <c r="D32" s="110"/>
      <c r="E32" s="124"/>
      <c r="F32" s="110"/>
      <c r="G32" s="110"/>
      <c r="H32" s="110"/>
      <c r="I32" s="110" t="s">
        <v>189</v>
      </c>
      <c r="J32" s="21"/>
      <c r="K32" s="21"/>
      <c r="L32" s="21"/>
      <c r="M32" s="120">
        <f>SUM(M30:M31)</f>
        <v>1923452</v>
      </c>
      <c r="N32" s="120"/>
      <c r="O32" s="120"/>
      <c r="P32" s="110"/>
      <c r="U32" s="21"/>
    </row>
    <row r="33" spans="1:21" ht="18">
      <c r="A33" s="110" t="s">
        <v>233</v>
      </c>
      <c r="B33" s="110"/>
      <c r="C33" s="110"/>
      <c r="D33" s="110"/>
      <c r="E33" s="178">
        <f>-M27</f>
        <v>-16923275</v>
      </c>
      <c r="F33" s="21"/>
      <c r="G33" s="110"/>
      <c r="H33" s="110"/>
      <c r="I33" s="110" t="s">
        <v>190</v>
      </c>
      <c r="J33" s="21"/>
      <c r="K33" s="21"/>
      <c r="L33" s="21"/>
      <c r="M33" s="126">
        <f>-(M32*0.05)</f>
        <v>-96172.6</v>
      </c>
      <c r="N33" s="126"/>
      <c r="O33" s="126"/>
      <c r="P33" s="110"/>
      <c r="U33" s="21"/>
    </row>
    <row r="34" spans="1:21" ht="18">
      <c r="A34" s="110" t="s">
        <v>279</v>
      </c>
      <c r="B34" s="110"/>
      <c r="C34" s="110"/>
      <c r="D34" s="110"/>
      <c r="E34" s="187">
        <f>-M41</f>
        <v>-18850000</v>
      </c>
      <c r="F34" s="21"/>
      <c r="G34" s="21"/>
      <c r="H34" s="110"/>
      <c r="I34" s="110" t="s">
        <v>192</v>
      </c>
      <c r="J34" s="21"/>
      <c r="K34" s="21"/>
      <c r="L34" s="21"/>
      <c r="M34" s="120">
        <f>M32+M33</f>
        <v>1827279.4</v>
      </c>
      <c r="N34" s="120"/>
      <c r="O34" s="120"/>
      <c r="P34" s="114"/>
      <c r="U34" s="21"/>
    </row>
    <row r="35" spans="1:21" ht="18">
      <c r="A35" s="110" t="s">
        <v>191</v>
      </c>
      <c r="B35" s="110"/>
      <c r="C35" s="110"/>
      <c r="D35" s="110"/>
      <c r="E35" s="187">
        <f>E31+E33+E34</f>
        <v>6758651.219264828</v>
      </c>
      <c r="F35" s="21"/>
      <c r="G35" s="21"/>
      <c r="H35" s="110"/>
      <c r="I35" s="140" t="s">
        <v>274</v>
      </c>
      <c r="J35" s="21"/>
      <c r="K35" s="21"/>
      <c r="L35" s="21"/>
      <c r="M35" s="128">
        <f>M34/0.0625</f>
        <v>29236470.4</v>
      </c>
      <c r="N35" s="128"/>
      <c r="O35" s="128"/>
      <c r="P35" s="116"/>
      <c r="Q35" s="137"/>
      <c r="R35" s="126"/>
      <c r="S35" s="130"/>
      <c r="T35" s="21"/>
      <c r="U35" s="21"/>
    </row>
    <row r="36" spans="1:21" ht="18">
      <c r="A36" s="110" t="s">
        <v>193</v>
      </c>
      <c r="B36" s="110"/>
      <c r="C36" s="110"/>
      <c r="D36" s="110"/>
      <c r="E36" s="187">
        <f>T23</f>
        <v>-8760573.969964834</v>
      </c>
      <c r="F36" s="110"/>
      <c r="G36" s="21"/>
      <c r="H36" s="110"/>
      <c r="I36" s="21"/>
      <c r="J36" s="21"/>
      <c r="K36" s="21"/>
      <c r="L36" s="21"/>
      <c r="M36" s="128">
        <v>29000000</v>
      </c>
      <c r="N36" s="128"/>
      <c r="O36" s="128"/>
      <c r="P36" s="110"/>
      <c r="S36" s="112"/>
      <c r="T36" s="21"/>
      <c r="U36" s="21"/>
    </row>
    <row r="37" spans="1:21" ht="18">
      <c r="A37" s="140" t="s">
        <v>194</v>
      </c>
      <c r="B37" s="110"/>
      <c r="C37" s="110"/>
      <c r="D37" s="110"/>
      <c r="E37" s="179" t="s">
        <v>254</v>
      </c>
      <c r="F37" s="134"/>
      <c r="G37" s="21"/>
      <c r="H37" s="110"/>
      <c r="I37" s="141"/>
      <c r="J37" s="141"/>
      <c r="K37" s="141"/>
      <c r="L37" s="141"/>
      <c r="M37" s="175"/>
      <c r="N37" s="175"/>
      <c r="O37" s="128"/>
      <c r="P37" s="110"/>
      <c r="S37" s="127"/>
      <c r="T37" s="21"/>
      <c r="U37" s="21"/>
    </row>
    <row r="38" spans="1:21" ht="18">
      <c r="A38" s="110"/>
      <c r="B38" s="110"/>
      <c r="C38" s="110"/>
      <c r="D38" s="110"/>
      <c r="E38" s="128"/>
      <c r="F38" s="21"/>
      <c r="G38" s="111"/>
      <c r="H38" s="110"/>
      <c r="I38" s="181" t="s">
        <v>278</v>
      </c>
      <c r="J38" s="180"/>
      <c r="K38" s="180"/>
      <c r="L38" s="180"/>
      <c r="M38" s="128">
        <f>M36*0.65</f>
        <v>18850000</v>
      </c>
      <c r="N38" s="128"/>
      <c r="P38" s="110"/>
      <c r="S38" s="129"/>
      <c r="T38" s="21"/>
      <c r="U38" s="21"/>
    </row>
    <row r="39" spans="1:21" ht="18">
      <c r="A39" s="140" t="s">
        <v>195</v>
      </c>
      <c r="B39" s="110"/>
      <c r="C39" s="110"/>
      <c r="D39" s="110"/>
      <c r="E39" s="128">
        <f>M36</f>
        <v>29000000</v>
      </c>
      <c r="F39" s="21"/>
      <c r="G39" s="110"/>
      <c r="H39" s="110"/>
      <c r="I39" s="141"/>
      <c r="J39" s="180"/>
      <c r="K39" s="180"/>
      <c r="L39" s="180"/>
      <c r="M39" s="175"/>
      <c r="N39" s="175"/>
      <c r="O39" s="110"/>
      <c r="P39" s="110"/>
      <c r="S39" s="129"/>
      <c r="T39" s="21"/>
      <c r="U39" s="21"/>
    </row>
    <row r="40" spans="1:21" ht="18">
      <c r="A40" s="110" t="s">
        <v>280</v>
      </c>
      <c r="B40" s="110"/>
      <c r="C40" s="110"/>
      <c r="D40" s="110"/>
      <c r="E40" s="187">
        <f>-(M36*0.7)</f>
        <v>-20300000</v>
      </c>
      <c r="F40" s="21"/>
      <c r="G40" s="110"/>
      <c r="H40" s="110"/>
      <c r="I40" s="140" t="s">
        <v>160</v>
      </c>
      <c r="J40" s="21"/>
      <c r="K40" s="21"/>
      <c r="L40" s="21"/>
      <c r="M40" s="21"/>
      <c r="N40" s="21"/>
      <c r="O40" s="110"/>
      <c r="P40" s="128"/>
      <c r="S40" s="130"/>
      <c r="T40" s="21"/>
      <c r="U40" s="21"/>
    </row>
    <row r="41" spans="1:21" ht="18">
      <c r="A41" s="140" t="s">
        <v>196</v>
      </c>
      <c r="B41" s="110"/>
      <c r="C41" s="110"/>
      <c r="D41" s="110"/>
      <c r="E41" s="128">
        <f>E39+E40</f>
        <v>8700000</v>
      </c>
      <c r="F41" s="134"/>
      <c r="G41" s="110"/>
      <c r="H41" s="110"/>
      <c r="I41" s="110" t="s">
        <v>146</v>
      </c>
      <c r="J41" s="21"/>
      <c r="K41" s="21"/>
      <c r="L41" s="21"/>
      <c r="M41" s="120">
        <f>M38</f>
        <v>18850000</v>
      </c>
      <c r="N41" s="120"/>
      <c r="O41" s="110"/>
      <c r="P41" s="121"/>
      <c r="Q41" s="138"/>
      <c r="R41" s="128"/>
      <c r="S41" s="112"/>
      <c r="T41" s="21"/>
      <c r="U41" s="21"/>
    </row>
    <row r="42" spans="1:21" ht="18">
      <c r="A42" s="110"/>
      <c r="B42" s="110"/>
      <c r="C42" s="110"/>
      <c r="D42" s="110"/>
      <c r="E42" s="110"/>
      <c r="F42" s="132"/>
      <c r="G42" s="110"/>
      <c r="H42" s="110"/>
      <c r="I42" s="110" t="s">
        <v>234</v>
      </c>
      <c r="J42" s="110"/>
      <c r="K42" s="110"/>
      <c r="L42" s="110"/>
      <c r="M42" s="120">
        <v>1164930</v>
      </c>
      <c r="N42" s="120"/>
      <c r="O42" s="110"/>
      <c r="P42" s="117"/>
      <c r="U42" s="21"/>
    </row>
    <row r="43" spans="1:21" ht="18">
      <c r="A43" s="140" t="s">
        <v>197</v>
      </c>
      <c r="B43" s="110"/>
      <c r="C43" s="110"/>
      <c r="D43" s="110"/>
      <c r="E43" s="110"/>
      <c r="F43" s="126"/>
      <c r="G43" s="120"/>
      <c r="H43" s="112"/>
      <c r="I43" s="110" t="s">
        <v>271</v>
      </c>
      <c r="J43" s="110"/>
      <c r="K43" s="110"/>
      <c r="L43" s="110"/>
      <c r="M43" s="126">
        <f>M41*0.01</f>
        <v>188500</v>
      </c>
      <c r="N43" s="126"/>
      <c r="O43" s="110"/>
      <c r="P43" s="131"/>
      <c r="U43" s="21"/>
    </row>
    <row r="44" spans="1:21" ht="18">
      <c r="A44" s="110" t="s">
        <v>283</v>
      </c>
      <c r="B44" s="110"/>
      <c r="C44" s="110"/>
      <c r="D44" s="110"/>
      <c r="E44" s="120">
        <v>115261.17</v>
      </c>
      <c r="F44" s="128"/>
      <c r="G44" s="128"/>
      <c r="H44" s="112"/>
      <c r="I44" s="140" t="s">
        <v>160</v>
      </c>
      <c r="J44" s="110"/>
      <c r="K44" s="110"/>
      <c r="L44" s="110"/>
      <c r="M44" s="128">
        <f>SUM(M42:M43)</f>
        <v>1353430</v>
      </c>
      <c r="N44" s="128"/>
      <c r="O44" s="110"/>
      <c r="P44" s="131"/>
      <c r="U44" s="21"/>
    </row>
    <row r="45" spans="1:21" ht="18">
      <c r="A45" s="110" t="s">
        <v>198</v>
      </c>
      <c r="B45" s="21"/>
      <c r="C45" s="21"/>
      <c r="D45" s="21"/>
      <c r="E45" s="175">
        <f>M34/12</f>
        <v>152273.28333333333</v>
      </c>
      <c r="F45" s="110"/>
      <c r="G45" s="110"/>
      <c r="H45" s="110"/>
      <c r="O45" s="21"/>
      <c r="P45" s="110"/>
      <c r="U45" s="21"/>
    </row>
    <row r="46" spans="1:21" ht="18">
      <c r="A46" s="110" t="s">
        <v>199</v>
      </c>
      <c r="B46" s="21"/>
      <c r="C46" s="21"/>
      <c r="D46" s="21"/>
      <c r="E46" s="149">
        <f>E45/E44</f>
        <v>1.3211151971937585</v>
      </c>
      <c r="F46" s="21"/>
      <c r="G46" s="21"/>
      <c r="H46" s="110"/>
      <c r="O46" s="21"/>
      <c r="P46" s="110"/>
      <c r="U46" s="21"/>
    </row>
    <row r="47" spans="1:21" ht="18">
      <c r="A47" s="110" t="s">
        <v>200</v>
      </c>
      <c r="B47" s="21"/>
      <c r="C47" s="21"/>
      <c r="D47" s="21"/>
      <c r="E47" s="120">
        <f>E45-E44</f>
        <v>37012.11333333333</v>
      </c>
      <c r="F47" s="21"/>
      <c r="G47" s="21"/>
      <c r="H47" s="110"/>
      <c r="I47" s="188"/>
      <c r="J47" s="2"/>
      <c r="K47" s="2"/>
      <c r="L47" s="2"/>
      <c r="O47" s="21"/>
      <c r="P47" s="110"/>
      <c r="U47" s="21"/>
    </row>
    <row r="48" spans="1:21" ht="18">
      <c r="A48" s="140" t="s">
        <v>201</v>
      </c>
      <c r="B48" s="21"/>
      <c r="C48" s="21"/>
      <c r="D48" s="21"/>
      <c r="E48" s="128">
        <f>E47*12</f>
        <v>444145.3599999999</v>
      </c>
      <c r="F48" s="21"/>
      <c r="G48" s="21"/>
      <c r="H48" s="110"/>
      <c r="I48" s="141" t="s">
        <v>263</v>
      </c>
      <c r="J48" s="2"/>
      <c r="K48" s="2"/>
      <c r="L48" s="2"/>
      <c r="O48" s="21"/>
      <c r="P48" s="110"/>
      <c r="Q48" s="142"/>
      <c r="R48" s="120"/>
      <c r="S48" s="127"/>
      <c r="T48" s="21"/>
      <c r="U48" s="21"/>
    </row>
    <row r="49" spans="8:21" ht="18">
      <c r="H49" s="109"/>
      <c r="I49" s="145"/>
      <c r="J49" s="2"/>
      <c r="K49" s="2"/>
      <c r="L49" s="2"/>
      <c r="O49" s="21"/>
      <c r="P49" s="110"/>
      <c r="Q49" s="137"/>
      <c r="R49" s="120"/>
      <c r="S49" s="129"/>
      <c r="T49" s="21"/>
      <c r="U49" s="21"/>
    </row>
    <row r="50" spans="1:21" ht="18">
      <c r="A50" s="140"/>
      <c r="E50" s="158"/>
      <c r="H50" s="109"/>
      <c r="I50" s="145"/>
      <c r="J50" s="2"/>
      <c r="K50" s="2"/>
      <c r="L50" s="2"/>
      <c r="M50" s="21"/>
      <c r="N50" s="21"/>
      <c r="O50" s="21"/>
      <c r="P50" s="110"/>
      <c r="Q50" s="142"/>
      <c r="R50" s="126"/>
      <c r="S50" s="127"/>
      <c r="T50" s="21"/>
      <c r="U50" s="21"/>
    </row>
    <row r="51" spans="6:21" ht="18">
      <c r="F51" s="109"/>
      <c r="G51" s="109"/>
      <c r="H51" s="109"/>
      <c r="P51" s="21"/>
      <c r="Q51" s="144"/>
      <c r="R51" s="120"/>
      <c r="S51" s="130"/>
      <c r="T51" s="21"/>
      <c r="U51" s="21"/>
    </row>
    <row r="52" spans="7:21" ht="18">
      <c r="G52" s="109"/>
      <c r="H52" s="109"/>
      <c r="P52" s="21"/>
      <c r="Q52" s="144"/>
      <c r="R52" s="128"/>
      <c r="S52" s="130"/>
      <c r="T52" s="21"/>
      <c r="U52" s="21"/>
    </row>
    <row r="53" spans="6:21" ht="18">
      <c r="F53" s="109"/>
      <c r="G53" s="117"/>
      <c r="H53" s="109"/>
      <c r="P53" s="21"/>
      <c r="Q53" s="144"/>
      <c r="R53" s="128"/>
      <c r="S53" s="130"/>
      <c r="T53" s="21"/>
      <c r="U53" s="21"/>
    </row>
    <row r="54" spans="6:21" ht="18">
      <c r="F54" s="117"/>
      <c r="G54" s="143"/>
      <c r="H54"/>
      <c r="P54" s="21"/>
      <c r="Q54" s="144"/>
      <c r="R54" s="21"/>
      <c r="S54" s="112"/>
      <c r="T54" s="21"/>
      <c r="U54" s="21"/>
    </row>
    <row r="55" spans="2:21" ht="18">
      <c r="B55" s="21"/>
      <c r="F55" s="143"/>
      <c r="G55" s="117"/>
      <c r="H55"/>
      <c r="P55" s="21"/>
      <c r="Q55" s="144"/>
      <c r="R55" s="21"/>
      <c r="S55" s="112"/>
      <c r="T55" s="21"/>
      <c r="U55" s="21"/>
    </row>
    <row r="56" spans="2:21" ht="18">
      <c r="B56" s="21"/>
      <c r="C56" s="21"/>
      <c r="D56" s="21"/>
      <c r="E56" s="21"/>
      <c r="F56" s="117"/>
      <c r="G56" s="131"/>
      <c r="P56" s="21"/>
      <c r="Q56" s="144"/>
      <c r="R56" s="21"/>
      <c r="S56" s="112"/>
      <c r="T56" s="21"/>
      <c r="U56" s="21"/>
    </row>
    <row r="57" spans="1:21" ht="15">
      <c r="A57" s="145"/>
      <c r="B57" s="21"/>
      <c r="C57" s="21"/>
      <c r="D57" s="21"/>
      <c r="E57" s="21"/>
      <c r="H57" s="112"/>
      <c r="I57" s="21"/>
      <c r="J57" s="21"/>
      <c r="K57" s="21"/>
      <c r="L57" s="21"/>
      <c r="M57" s="21"/>
      <c r="N57" s="21"/>
      <c r="O57" s="21"/>
      <c r="P57" s="21"/>
      <c r="Q57" s="144"/>
      <c r="R57" s="21"/>
      <c r="S57" s="112"/>
      <c r="T57" s="21"/>
      <c r="U57" s="21"/>
    </row>
    <row r="58" spans="1:21" ht="18">
      <c r="A58" s="146">
        <v>43543</v>
      </c>
      <c r="H58" s="112"/>
      <c r="I58" s="21"/>
      <c r="J58" s="21"/>
      <c r="K58" s="21"/>
      <c r="L58" s="140"/>
      <c r="M58" s="140"/>
      <c r="N58" s="140"/>
      <c r="O58" s="140"/>
      <c r="P58" s="140"/>
      <c r="Q58" s="144"/>
      <c r="R58" s="21"/>
      <c r="S58" s="112"/>
      <c r="T58" s="21"/>
      <c r="U58" s="21"/>
    </row>
    <row r="59" spans="8:21" ht="14.25">
      <c r="H59" s="112"/>
      <c r="I59" s="21"/>
      <c r="J59" s="21"/>
      <c r="K59" s="21"/>
      <c r="L59" s="21"/>
      <c r="M59" s="21"/>
      <c r="N59" s="21"/>
      <c r="O59" s="21"/>
      <c r="P59" s="21"/>
      <c r="Q59" s="144"/>
      <c r="R59" s="21"/>
      <c r="S59" s="112"/>
      <c r="T59" s="21"/>
      <c r="U59" s="21"/>
    </row>
    <row r="60" ht="14.25">
      <c r="H60" s="112"/>
    </row>
    <row r="61" ht="14.25">
      <c r="H61" s="112"/>
    </row>
    <row r="62" ht="14.25">
      <c r="H62" s="112"/>
    </row>
  </sheetData>
  <sheetProtection/>
  <printOptions/>
  <pageMargins left="0.75" right="0.2" top="0.25" bottom="0.25" header="0.3" footer="0.3"/>
  <pageSetup fitToHeight="1" fitToWidth="1" horizontalDpi="600" verticalDpi="600" orientation="landscape" paperSize="17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4.421875" style="0" customWidth="1"/>
    <col min="2" max="2" width="11.421875" style="0" customWidth="1"/>
    <col min="3" max="3" width="7.00390625" style="0" customWidth="1"/>
    <col min="4" max="4" width="65.7109375" style="0" customWidth="1"/>
    <col min="5" max="5" width="21.7109375" style="52" customWidth="1"/>
    <col min="6" max="6" width="21.7109375" style="139" customWidth="1"/>
    <col min="7" max="7" width="21.7109375" style="52" customWidth="1"/>
    <col min="8" max="8" width="21.7109375" style="0" customWidth="1"/>
    <col min="9" max="9" width="16.8515625" style="0" customWidth="1"/>
    <col min="11" max="11" width="10.8515625" style="0" bestFit="1" customWidth="1"/>
  </cols>
  <sheetData>
    <row r="1" spans="1:2" ht="30">
      <c r="A1" s="191" t="s">
        <v>41</v>
      </c>
      <c r="B1" s="45"/>
    </row>
    <row r="2" spans="1:7" s="180" customFormat="1" ht="20.25">
      <c r="A2" s="44" t="s">
        <v>270</v>
      </c>
      <c r="B2" s="49"/>
      <c r="E2" s="159"/>
      <c r="F2" s="159"/>
      <c r="G2" s="159"/>
    </row>
    <row r="3" spans="1:7" ht="14.25">
      <c r="A3" s="45"/>
      <c r="E3" s="68"/>
      <c r="F3" s="159"/>
      <c r="G3" s="68"/>
    </row>
    <row r="4" spans="5:8" ht="14.25" thickBot="1">
      <c r="E4" s="102" t="s">
        <v>145</v>
      </c>
      <c r="F4" s="192" t="s">
        <v>146</v>
      </c>
      <c r="G4" s="198" t="s">
        <v>147</v>
      </c>
      <c r="H4" s="103" t="s">
        <v>32</v>
      </c>
    </row>
    <row r="5" spans="1:11" ht="14.25">
      <c r="A5" s="53" t="s">
        <v>52</v>
      </c>
      <c r="B5" s="54"/>
      <c r="C5" s="55"/>
      <c r="D5" s="55"/>
      <c r="E5" s="104"/>
      <c r="F5" s="193"/>
      <c r="G5" s="199"/>
      <c r="H5" s="59"/>
      <c r="K5" s="52"/>
    </row>
    <row r="6" spans="1:8" ht="14.25">
      <c r="A6" s="60"/>
      <c r="B6" s="3"/>
      <c r="C6" s="86" t="s">
        <v>148</v>
      </c>
      <c r="D6" s="86"/>
      <c r="E6" s="105">
        <f>H6-G6</f>
        <v>5610548.2884892635</v>
      </c>
      <c r="F6" s="194"/>
      <c r="G6" s="200">
        <v>6040000</v>
      </c>
      <c r="H6" s="67">
        <f>'Cost Summary'!I5</f>
        <v>11650548.288489264</v>
      </c>
    </row>
    <row r="7" spans="1:8" ht="14.25">
      <c r="A7" s="60"/>
      <c r="B7" s="3"/>
      <c r="C7" s="61" t="str">
        <f>'Cost Summary'!C7</f>
        <v>Non-Refundable Option Deposits / Other Real Estate Costs</v>
      </c>
      <c r="D7" s="86"/>
      <c r="E7" s="105">
        <f>'Cost Summary'!I7</f>
        <v>29790</v>
      </c>
      <c r="F7" s="194"/>
      <c r="G7" s="200"/>
      <c r="H7" s="67">
        <f>SUM(E7:G7)</f>
        <v>29790</v>
      </c>
    </row>
    <row r="8" spans="1:8" ht="14.25">
      <c r="A8" s="60"/>
      <c r="B8" s="3"/>
      <c r="C8" s="61" t="str">
        <f>'Cost Summary'!C8</f>
        <v>Land Title Filings</v>
      </c>
      <c r="D8" s="86"/>
      <c r="E8" s="105">
        <f>'Cost Summary'!I8</f>
        <v>3537</v>
      </c>
      <c r="F8" s="194"/>
      <c r="G8" s="200"/>
      <c r="H8" s="67">
        <f>SUM(E8:G8)</f>
        <v>3537</v>
      </c>
    </row>
    <row r="9" spans="1:8" ht="14.25">
      <c r="A9" s="60"/>
      <c r="B9" s="3"/>
      <c r="C9" s="61" t="str">
        <f>'Cost Summary'!C9</f>
        <v>Legal</v>
      </c>
      <c r="D9" s="86"/>
      <c r="E9" s="105">
        <f>'Cost Summary'!I9</f>
        <v>144605.27</v>
      </c>
      <c r="F9" s="194"/>
      <c r="G9" s="200"/>
      <c r="H9" s="67">
        <f>SUM(E9:G9)</f>
        <v>144605.27</v>
      </c>
    </row>
    <row r="10" spans="1:9" ht="14.25">
      <c r="A10" s="60"/>
      <c r="B10" s="3"/>
      <c r="C10" s="61" t="str">
        <f>'Cost Summary'!C10</f>
        <v>Other Professional Services</v>
      </c>
      <c r="D10" s="86"/>
      <c r="E10" s="105">
        <f>'Cost Summary'!I10</f>
        <v>149450.89</v>
      </c>
      <c r="F10" s="194"/>
      <c r="G10" s="200"/>
      <c r="H10" s="67">
        <f>SUM(E10:G10)</f>
        <v>149450.89</v>
      </c>
      <c r="I10" s="52"/>
    </row>
    <row r="11" spans="1:8" ht="14.25">
      <c r="A11" s="60"/>
      <c r="B11" s="23"/>
      <c r="C11" s="86"/>
      <c r="D11" s="86"/>
      <c r="E11" s="105"/>
      <c r="F11" s="194"/>
      <c r="G11" s="200"/>
      <c r="H11" s="67"/>
    </row>
    <row r="12" spans="1:8" ht="14.25">
      <c r="A12" s="60" t="s">
        <v>59</v>
      </c>
      <c r="B12" s="23"/>
      <c r="C12" s="86"/>
      <c r="D12" s="86"/>
      <c r="E12" s="184"/>
      <c r="F12" s="194"/>
      <c r="G12" s="200"/>
      <c r="H12" s="67"/>
    </row>
    <row r="13" spans="1:8" ht="14.25">
      <c r="A13" s="60"/>
      <c r="B13" s="22" t="s">
        <v>149</v>
      </c>
      <c r="C13" s="22"/>
      <c r="D13" s="22"/>
      <c r="E13" s="184"/>
      <c r="F13" s="194"/>
      <c r="G13" s="200"/>
      <c r="H13" s="67"/>
    </row>
    <row r="14" spans="1:8" ht="14.25">
      <c r="A14" s="60"/>
      <c r="B14" s="22"/>
      <c r="C14" s="61" t="str">
        <f>'Cost Summary'!C15</f>
        <v>URA Organization Costs - Urban Renewal Plan</v>
      </c>
      <c r="D14" s="22"/>
      <c r="E14" s="184">
        <v>64349</v>
      </c>
      <c r="F14" s="194"/>
      <c r="G14" s="200"/>
      <c r="H14" s="67">
        <f>SUM(E14:F14)</f>
        <v>64349</v>
      </c>
    </row>
    <row r="15" spans="1:8" ht="14.25">
      <c r="A15" s="60"/>
      <c r="B15" s="22"/>
      <c r="C15" s="61" t="s">
        <v>73</v>
      </c>
      <c r="D15" s="86"/>
      <c r="E15" s="184">
        <v>135000</v>
      </c>
      <c r="F15" s="194"/>
      <c r="G15" s="200"/>
      <c r="H15" s="67">
        <f>SUM(E15:F15)</f>
        <v>135000</v>
      </c>
    </row>
    <row r="16" spans="1:8" ht="14.25">
      <c r="A16" s="60"/>
      <c r="B16" s="22"/>
      <c r="C16" s="61" t="s">
        <v>62</v>
      </c>
      <c r="D16" s="22"/>
      <c r="E16" s="184"/>
      <c r="F16" s="194"/>
      <c r="G16" s="200"/>
      <c r="H16" s="67"/>
    </row>
    <row r="17" spans="1:8" ht="14.25">
      <c r="A17" s="60"/>
      <c r="B17" s="22"/>
      <c r="C17" s="61"/>
      <c r="D17" s="61" t="str">
        <f>'Cost Summary'!D18</f>
        <v>Creekwalk LLC Properties</v>
      </c>
      <c r="E17" s="184">
        <f>'Cost Summary'!I18</f>
        <v>133946</v>
      </c>
      <c r="F17" s="194"/>
      <c r="G17" s="200"/>
      <c r="H17" s="67">
        <f>SUM(E17:G17)</f>
        <v>133946</v>
      </c>
    </row>
    <row r="18" spans="1:8" ht="14.25">
      <c r="A18" s="60"/>
      <c r="B18" s="22"/>
      <c r="C18" s="61"/>
      <c r="D18" s="61" t="str">
        <f>'Cost Summary'!D19</f>
        <v>The Wine Box Business Relocation</v>
      </c>
      <c r="E18" s="184"/>
      <c r="F18" s="194"/>
      <c r="G18" s="200">
        <f>'Cost Summary'!I19</f>
        <v>200000</v>
      </c>
      <c r="H18" s="67">
        <f>SUM(E18:G18)</f>
        <v>200000</v>
      </c>
    </row>
    <row r="19" spans="1:8" ht="14.25">
      <c r="A19" s="60"/>
      <c r="B19" s="22"/>
      <c r="C19" s="61"/>
      <c r="D19" s="61" t="str">
        <f>'Cost Summary'!D20</f>
        <v>Crescent Concept Homes Business Relocation</v>
      </c>
      <c r="E19" s="184"/>
      <c r="F19" s="194"/>
      <c r="G19" s="200">
        <f>'Cost Summary'!I20</f>
        <v>225000</v>
      </c>
      <c r="H19" s="67">
        <f>SUM(E19:G19)</f>
        <v>225000</v>
      </c>
    </row>
    <row r="20" spans="1:8" ht="14.25">
      <c r="A20" s="60"/>
      <c r="B20" s="23"/>
      <c r="C20" s="86" t="s">
        <v>150</v>
      </c>
      <c r="D20" s="86"/>
      <c r="E20" s="184"/>
      <c r="F20" s="194"/>
      <c r="G20" s="200"/>
      <c r="H20" s="67"/>
    </row>
    <row r="21" spans="1:8" ht="14.25">
      <c r="A21" s="60"/>
      <c r="B21" s="23"/>
      <c r="C21" s="86"/>
      <c r="D21" s="86" t="s">
        <v>64</v>
      </c>
      <c r="E21" s="184">
        <f>'Cost Summary'!G22</f>
        <v>58320</v>
      </c>
      <c r="F21" s="194"/>
      <c r="G21" s="200">
        <f>'Cost Summary'!H22</f>
        <v>31634</v>
      </c>
      <c r="H21" s="67">
        <f>SUM(E21:G21)</f>
        <v>89954</v>
      </c>
    </row>
    <row r="22" spans="1:8" ht="14.25">
      <c r="A22" s="60"/>
      <c r="B22" s="23"/>
      <c r="C22" s="86"/>
      <c r="D22" s="61" t="str">
        <f>'Cost Summary'!D23</f>
        <v>Offsite Development</v>
      </c>
      <c r="E22" s="184"/>
      <c r="F22" s="194"/>
      <c r="G22" s="200">
        <f>'Cost Summary'!I23</f>
        <v>1076449.27</v>
      </c>
      <c r="H22" s="67">
        <f>SUM(E22:G22)</f>
        <v>1076449.27</v>
      </c>
    </row>
    <row r="23" spans="1:8" ht="14.25">
      <c r="A23" s="60"/>
      <c r="B23" s="23"/>
      <c r="C23" s="86" t="s">
        <v>65</v>
      </c>
      <c r="D23" s="86"/>
      <c r="E23" s="184">
        <f>H23-G23</f>
        <v>399750</v>
      </c>
      <c r="F23" s="194"/>
      <c r="G23" s="200">
        <v>744000</v>
      </c>
      <c r="H23" s="67">
        <f>'Cost Summary'!I24</f>
        <v>1143750</v>
      </c>
    </row>
    <row r="24" spans="1:8" ht="14.25">
      <c r="A24" s="60"/>
      <c r="B24" s="23"/>
      <c r="C24" s="86" t="s">
        <v>66</v>
      </c>
      <c r="D24" s="86"/>
      <c r="E24" s="184"/>
      <c r="F24" s="194"/>
      <c r="G24" s="200"/>
      <c r="H24" s="67"/>
    </row>
    <row r="25" spans="1:8" ht="14.25">
      <c r="A25" s="60"/>
      <c r="B25" s="23"/>
      <c r="C25" s="86"/>
      <c r="D25" s="86" t="str">
        <f>'Cost Summary'!D26</f>
        <v>Cheyenne Road - Creekwalk</v>
      </c>
      <c r="E25" s="184"/>
      <c r="F25" s="194"/>
      <c r="G25" s="200">
        <f>'Cost Summary'!I26</f>
        <v>522331</v>
      </c>
      <c r="H25" s="67">
        <f>SUM(E25:G25)</f>
        <v>522331</v>
      </c>
    </row>
    <row r="26" spans="1:8" ht="14.25">
      <c r="A26" s="60"/>
      <c r="B26" s="23"/>
      <c r="C26" s="86"/>
      <c r="D26" s="161" t="str">
        <f>'Cost Summary'!D27</f>
        <v>Cheyenne Road - Offsite Development</v>
      </c>
      <c r="E26" s="184"/>
      <c r="F26" s="194"/>
      <c r="G26" s="200">
        <f>'Cost Summary'!I27</f>
        <v>113082</v>
      </c>
      <c r="H26" s="67">
        <f>SUM(E26:G26)</f>
        <v>113082</v>
      </c>
    </row>
    <row r="27" spans="1:8" ht="14.25">
      <c r="A27" s="60"/>
      <c r="B27" s="23"/>
      <c r="C27" s="86"/>
      <c r="D27" s="161" t="str">
        <f>'Cost Summary'!D28</f>
        <v>South Nevada Avenue - Creekwalk</v>
      </c>
      <c r="E27" s="184"/>
      <c r="F27" s="194"/>
      <c r="G27" s="200">
        <f>'Cost Summary'!I28</f>
        <v>185018.75</v>
      </c>
      <c r="H27" s="67">
        <f>SUM(E27:G27)</f>
        <v>185018.75</v>
      </c>
    </row>
    <row r="28" spans="1:8" ht="14.25">
      <c r="A28" s="60"/>
      <c r="B28" s="23"/>
      <c r="C28" s="86"/>
      <c r="D28" s="161" t="str">
        <f>'Cost Summary'!D29</f>
        <v>South Nevada Avenue - Offsite Development</v>
      </c>
      <c r="E28" s="184"/>
      <c r="F28" s="194"/>
      <c r="G28" s="200">
        <f>'Cost Summary'!I29</f>
        <v>792374.01</v>
      </c>
      <c r="H28" s="67">
        <f>SUM(E28:G28)</f>
        <v>792374.01</v>
      </c>
    </row>
    <row r="29" spans="1:8" ht="14.25">
      <c r="A29" s="60"/>
      <c r="B29" s="23"/>
      <c r="C29" s="86" t="s">
        <v>68</v>
      </c>
      <c r="D29" s="86"/>
      <c r="E29" s="184">
        <f>'Cost Summary'!G30</f>
        <v>121507.3</v>
      </c>
      <c r="F29" s="194"/>
      <c r="G29" s="200"/>
      <c r="H29" s="67">
        <f>SUM(E29:F29)</f>
        <v>121507.3</v>
      </c>
    </row>
    <row r="30" spans="1:8" ht="14.25">
      <c r="A30" s="60"/>
      <c r="B30" s="23"/>
      <c r="C30" s="61" t="s">
        <v>69</v>
      </c>
      <c r="D30" s="86"/>
      <c r="E30" s="184">
        <f>'Cost Summary'!G31</f>
        <v>45879.66</v>
      </c>
      <c r="F30" s="194"/>
      <c r="G30" s="200"/>
      <c r="H30" s="67">
        <f>SUM(E30:F30)</f>
        <v>45879.66</v>
      </c>
    </row>
    <row r="31" spans="1:8" ht="14.25">
      <c r="A31" s="60"/>
      <c r="B31" s="23"/>
      <c r="C31" s="61" t="s">
        <v>70</v>
      </c>
      <c r="D31" s="86"/>
      <c r="E31" s="184">
        <f>'Cost Summary'!G32</f>
        <v>13846.25</v>
      </c>
      <c r="F31" s="194"/>
      <c r="G31" s="200"/>
      <c r="H31" s="67">
        <f>SUM(E31:F31)</f>
        <v>13846.25</v>
      </c>
    </row>
    <row r="32" spans="1:9" ht="14.25">
      <c r="A32" s="60"/>
      <c r="B32" s="23"/>
      <c r="C32" s="61" t="s">
        <v>71</v>
      </c>
      <c r="D32" s="86"/>
      <c r="E32" s="184">
        <f>'Cost Summary'!G33</f>
        <v>79483.53</v>
      </c>
      <c r="F32" s="194"/>
      <c r="G32" s="200"/>
      <c r="H32" s="67">
        <f>SUM(E32:F32)</f>
        <v>79483.53</v>
      </c>
      <c r="I32" s="52"/>
    </row>
    <row r="33" spans="1:8" ht="14.25">
      <c r="A33" s="60"/>
      <c r="B33" s="23"/>
      <c r="C33" s="86"/>
      <c r="D33" s="86"/>
      <c r="E33" s="184"/>
      <c r="F33" s="194"/>
      <c r="G33" s="200"/>
      <c r="H33" s="67"/>
    </row>
    <row r="34" spans="1:8" ht="14.25">
      <c r="A34" s="60"/>
      <c r="B34" s="23" t="s">
        <v>151</v>
      </c>
      <c r="C34" s="86"/>
      <c r="D34" s="86"/>
      <c r="E34" s="184"/>
      <c r="F34" s="194"/>
      <c r="G34" s="200"/>
      <c r="H34" s="67"/>
    </row>
    <row r="35" spans="1:8" ht="14.25">
      <c r="A35" s="60"/>
      <c r="B35" s="23"/>
      <c r="C35" s="161" t="s">
        <v>78</v>
      </c>
      <c r="D35" s="161"/>
      <c r="E35" s="184">
        <f>'Cost Summary'!I37</f>
        <v>83340</v>
      </c>
      <c r="F35" s="194"/>
      <c r="G35" s="200"/>
      <c r="H35" s="67">
        <f>SUM(E35:G35)</f>
        <v>83340</v>
      </c>
    </row>
    <row r="36" spans="1:8" ht="14.25">
      <c r="A36" s="60"/>
      <c r="B36" s="23"/>
      <c r="C36" s="161" t="s">
        <v>79</v>
      </c>
      <c r="D36" s="161"/>
      <c r="E36" s="184">
        <f>'Cost Summary'!G38</f>
        <v>98614.07</v>
      </c>
      <c r="F36" s="194"/>
      <c r="G36" s="200">
        <f>'Cost Summary'!H38</f>
        <v>339042.66</v>
      </c>
      <c r="H36" s="67">
        <f>SUM(E36:G36)</f>
        <v>437656.73</v>
      </c>
    </row>
    <row r="37" spans="1:8" ht="14.25">
      <c r="A37" s="60"/>
      <c r="B37" s="23"/>
      <c r="C37" s="161" t="s">
        <v>80</v>
      </c>
      <c r="D37" s="161"/>
      <c r="E37" s="184">
        <f>'Cost Summary'!G39</f>
        <v>152376.5</v>
      </c>
      <c r="F37" s="194"/>
      <c r="G37" s="200">
        <f>'Cost Summary'!H39</f>
        <v>680189</v>
      </c>
      <c r="H37" s="67">
        <f>SUM(E37:G37)</f>
        <v>832565.5</v>
      </c>
    </row>
    <row r="38" spans="1:9" ht="14.25">
      <c r="A38" s="60"/>
      <c r="B38" s="23"/>
      <c r="C38" s="161" t="s">
        <v>72</v>
      </c>
      <c r="D38" s="161"/>
      <c r="E38" s="184">
        <f>'Cost Summary'!I40</f>
        <v>251821.32840000003</v>
      </c>
      <c r="F38" s="194"/>
      <c r="G38" s="200"/>
      <c r="H38" s="67">
        <f>SUM(E38:F38)</f>
        <v>251821.32840000003</v>
      </c>
      <c r="I38" s="52"/>
    </row>
    <row r="39" spans="1:8" ht="14.25">
      <c r="A39" s="60"/>
      <c r="B39" s="23"/>
      <c r="C39" s="86"/>
      <c r="D39" s="86"/>
      <c r="E39" s="184"/>
      <c r="F39" s="194"/>
      <c r="G39" s="200"/>
      <c r="H39" s="67"/>
    </row>
    <row r="40" spans="1:8" ht="14.25">
      <c r="A40" s="60" t="str">
        <f>'Cost Summary'!A43</f>
        <v>UTILITY RELOCATIONS / SITE DEVELOPMENT / OFF-SITE DEVELOPMENT COSTS</v>
      </c>
      <c r="B40" s="23"/>
      <c r="C40" s="86"/>
      <c r="D40" s="86"/>
      <c r="E40" s="184"/>
      <c r="F40" s="194"/>
      <c r="G40" s="200"/>
      <c r="H40" s="67"/>
    </row>
    <row r="41" spans="1:8" ht="14.25">
      <c r="A41" s="80"/>
      <c r="B41" s="86" t="s">
        <v>203</v>
      </c>
      <c r="C41" s="23"/>
      <c r="D41" s="86"/>
      <c r="E41" s="184"/>
      <c r="F41" s="194"/>
      <c r="G41" s="200">
        <f>'Cost Summary'!I44</f>
        <v>3133799</v>
      </c>
      <c r="H41" s="67">
        <f>SUM(E41:G41)</f>
        <v>3133799</v>
      </c>
    </row>
    <row r="42" spans="1:8" ht="14.25">
      <c r="A42" s="80"/>
      <c r="B42" s="86" t="str">
        <f>'Cost Summary'!B45</f>
        <v>SIGNAGE</v>
      </c>
      <c r="C42" s="86"/>
      <c r="D42" s="86"/>
      <c r="E42" s="184"/>
      <c r="F42" s="194"/>
      <c r="G42" s="200">
        <f>'Cost Summary'!I45</f>
        <v>250000</v>
      </c>
      <c r="H42" s="67">
        <f>G42</f>
        <v>250000</v>
      </c>
    </row>
    <row r="43" spans="1:8" ht="14.25">
      <c r="A43" s="80"/>
      <c r="B43" s="86" t="str">
        <f>'Cost Summary'!B46</f>
        <v>OFF-SITE IMPROVEMENTS</v>
      </c>
      <c r="C43" s="86"/>
      <c r="D43" s="86"/>
      <c r="E43" s="184"/>
      <c r="F43" s="194"/>
      <c r="G43" s="201">
        <f>'Cost Summary'!I46</f>
        <v>0</v>
      </c>
      <c r="H43" s="165"/>
    </row>
    <row r="44" spans="1:8" ht="14.25">
      <c r="A44" s="80"/>
      <c r="B44" s="86"/>
      <c r="C44" s="86" t="str">
        <f>'Cost Summary'!C47</f>
        <v>Pedestrian Bridge / Creekside Landscape / Plaza</v>
      </c>
      <c r="D44" s="86"/>
      <c r="E44" s="184"/>
      <c r="F44" s="194"/>
      <c r="G44" s="201">
        <f>'Cost Summary'!I47</f>
        <v>500000</v>
      </c>
      <c r="H44" s="165">
        <f>G44</f>
        <v>500000</v>
      </c>
    </row>
    <row r="45" spans="1:8" ht="14.25">
      <c r="A45" s="60"/>
      <c r="B45" s="86"/>
      <c r="C45" s="86" t="str">
        <f>'Cost Summary'!C48</f>
        <v>Traffic Lights</v>
      </c>
      <c r="D45" s="86"/>
      <c r="E45" s="184"/>
      <c r="F45" s="194"/>
      <c r="G45" s="201" t="str">
        <f>'Cost Summary'!I48</f>
        <v>City</v>
      </c>
      <c r="H45" s="165"/>
    </row>
    <row r="46" spans="1:8" ht="14.25">
      <c r="A46" s="60"/>
      <c r="B46" s="23" t="s">
        <v>88</v>
      </c>
      <c r="C46" s="86"/>
      <c r="D46" s="86"/>
      <c r="E46" s="184"/>
      <c r="F46" s="194"/>
      <c r="G46" s="200"/>
      <c r="H46" s="67"/>
    </row>
    <row r="47" spans="1:8" ht="14.25">
      <c r="A47" s="60"/>
      <c r="B47" s="23"/>
      <c r="C47" s="61" t="s">
        <v>214</v>
      </c>
      <c r="D47" s="61"/>
      <c r="E47" s="184"/>
      <c r="F47" s="194">
        <f>'Cost Summary'!I54</f>
        <v>49654.33</v>
      </c>
      <c r="G47" s="200"/>
      <c r="H47" s="67">
        <f aca="true" t="shared" si="0" ref="H47:H57">SUM(F47:G47)</f>
        <v>49654.33</v>
      </c>
    </row>
    <row r="48" spans="1:8" ht="14.25">
      <c r="A48" s="60"/>
      <c r="B48" s="23"/>
      <c r="C48" s="61" t="s">
        <v>236</v>
      </c>
      <c r="D48" s="61"/>
      <c r="E48" s="184"/>
      <c r="F48" s="194">
        <f>'Cost Summary'!I55</f>
        <v>127423.65</v>
      </c>
      <c r="G48" s="200"/>
      <c r="H48" s="67">
        <f t="shared" si="0"/>
        <v>127423.65</v>
      </c>
    </row>
    <row r="49" spans="1:8" ht="14.25">
      <c r="A49" s="60"/>
      <c r="B49" s="23"/>
      <c r="C49" s="61" t="s">
        <v>89</v>
      </c>
      <c r="D49" s="61"/>
      <c r="E49" s="184"/>
      <c r="F49" s="194">
        <f>'Cost Summary'!I56</f>
        <v>45650</v>
      </c>
      <c r="G49" s="200"/>
      <c r="H49" s="67">
        <f t="shared" si="0"/>
        <v>45650</v>
      </c>
    </row>
    <row r="50" spans="1:8" ht="14.25">
      <c r="A50" s="60"/>
      <c r="B50" s="23"/>
      <c r="C50" s="61" t="s">
        <v>215</v>
      </c>
      <c r="D50" s="61"/>
      <c r="E50" s="184"/>
      <c r="F50" s="194">
        <f>'Cost Summary'!I57</f>
        <v>38795.020000000004</v>
      </c>
      <c r="G50" s="200"/>
      <c r="H50" s="67">
        <f t="shared" si="0"/>
        <v>38795.020000000004</v>
      </c>
    </row>
    <row r="51" spans="1:8" ht="14.25">
      <c r="A51" s="60"/>
      <c r="B51" s="23"/>
      <c r="C51" s="61" t="s">
        <v>90</v>
      </c>
      <c r="D51" s="61"/>
      <c r="E51" s="184"/>
      <c r="F51" s="194">
        <f>'Cost Summary'!I58</f>
        <v>61280</v>
      </c>
      <c r="G51" s="200"/>
      <c r="H51" s="67">
        <f t="shared" si="0"/>
        <v>61280</v>
      </c>
    </row>
    <row r="52" spans="1:10" ht="14.25">
      <c r="A52" s="60"/>
      <c r="B52" s="23"/>
      <c r="C52" s="61" t="s">
        <v>91</v>
      </c>
      <c r="D52" s="61"/>
      <c r="E52" s="184"/>
      <c r="F52" s="194">
        <f>'Cost Summary'!I59</f>
        <v>0</v>
      </c>
      <c r="G52" s="200"/>
      <c r="H52" s="67">
        <f t="shared" si="0"/>
        <v>0</v>
      </c>
      <c r="J52" s="159"/>
    </row>
    <row r="53" spans="1:8" ht="14.25">
      <c r="A53" s="60"/>
      <c r="B53" s="23"/>
      <c r="C53" s="61" t="s">
        <v>92</v>
      </c>
      <c r="D53" s="61"/>
      <c r="E53" s="184"/>
      <c r="F53" s="194">
        <f>'Cost Summary'!I60</f>
        <v>0</v>
      </c>
      <c r="G53" s="200"/>
      <c r="H53" s="67">
        <f t="shared" si="0"/>
        <v>0</v>
      </c>
    </row>
    <row r="54" spans="1:8" ht="14.25">
      <c r="A54" s="60"/>
      <c r="B54" s="23"/>
      <c r="C54" s="61" t="s">
        <v>93</v>
      </c>
      <c r="D54" s="61"/>
      <c r="E54" s="184"/>
      <c r="F54" s="194">
        <f>'Cost Summary'!I61</f>
        <v>4413.5</v>
      </c>
      <c r="G54" s="200"/>
      <c r="H54" s="67">
        <f t="shared" si="0"/>
        <v>4413.5</v>
      </c>
    </row>
    <row r="55" spans="1:8" ht="14.25">
      <c r="A55" s="60"/>
      <c r="B55" s="23"/>
      <c r="C55" s="61" t="s">
        <v>94</v>
      </c>
      <c r="D55" s="61"/>
      <c r="E55" s="184"/>
      <c r="F55" s="194">
        <f>'Cost Summary'!I62</f>
        <v>0</v>
      </c>
      <c r="G55" s="200"/>
      <c r="H55" s="67">
        <f t="shared" si="0"/>
        <v>0</v>
      </c>
    </row>
    <row r="56" spans="1:8" ht="14.25">
      <c r="A56" s="60"/>
      <c r="B56" s="23"/>
      <c r="C56" s="61" t="s">
        <v>95</v>
      </c>
      <c r="D56" s="61"/>
      <c r="E56" s="184"/>
      <c r="F56" s="194">
        <f>'Cost Summary'!I63</f>
        <v>23350</v>
      </c>
      <c r="G56" s="200"/>
      <c r="H56" s="67">
        <f t="shared" si="0"/>
        <v>23350</v>
      </c>
    </row>
    <row r="57" spans="1:8" ht="14.25">
      <c r="A57" s="60"/>
      <c r="B57" s="23"/>
      <c r="C57" s="61" t="s">
        <v>96</v>
      </c>
      <c r="D57" s="61"/>
      <c r="E57" s="184"/>
      <c r="F57" s="194">
        <f>'Cost Summary'!I64</f>
        <v>6717.5</v>
      </c>
      <c r="G57" s="200"/>
      <c r="H57" s="67">
        <f t="shared" si="0"/>
        <v>6717.5</v>
      </c>
    </row>
    <row r="58" spans="1:8" ht="14.25">
      <c r="A58" s="60"/>
      <c r="B58" s="23"/>
      <c r="C58" s="22"/>
      <c r="D58" s="61"/>
      <c r="E58" s="184"/>
      <c r="F58" s="194"/>
      <c r="G58" s="200"/>
      <c r="H58" s="67"/>
    </row>
    <row r="59" spans="1:8" ht="14.25">
      <c r="A59" s="60"/>
      <c r="B59" s="23" t="s">
        <v>99</v>
      </c>
      <c r="C59" s="61"/>
      <c r="D59" s="61"/>
      <c r="E59" s="184"/>
      <c r="F59" s="194"/>
      <c r="G59" s="200"/>
      <c r="H59" s="67"/>
    </row>
    <row r="60" spans="1:8" ht="14.25">
      <c r="A60" s="60"/>
      <c r="B60" s="23"/>
      <c r="C60" s="61" t="s">
        <v>100</v>
      </c>
      <c r="D60" s="61"/>
      <c r="E60" s="184"/>
      <c r="F60" s="194">
        <f>'Cost Summary'!I68</f>
        <v>469145</v>
      </c>
      <c r="G60" s="200"/>
      <c r="H60" s="67">
        <f>SUM(E60:G60)</f>
        <v>469145</v>
      </c>
    </row>
    <row r="61" spans="1:8" ht="14.25">
      <c r="A61" s="60"/>
      <c r="B61" s="23"/>
      <c r="C61" s="61" t="s">
        <v>237</v>
      </c>
      <c r="D61" s="61"/>
      <c r="E61" s="184"/>
      <c r="F61" s="194">
        <f>'Cost Summary'!I69</f>
        <v>168000</v>
      </c>
      <c r="G61" s="200"/>
      <c r="H61" s="67">
        <f>SUM(E61:G61)</f>
        <v>168000</v>
      </c>
    </row>
    <row r="62" spans="1:8" ht="14.25">
      <c r="A62" s="60"/>
      <c r="B62" s="23"/>
      <c r="C62" s="61" t="s">
        <v>101</v>
      </c>
      <c r="D62" s="61"/>
      <c r="E62" s="184"/>
      <c r="F62" s="194">
        <f>'Cost Summary'!I70</f>
        <v>206744</v>
      </c>
      <c r="G62" s="200"/>
      <c r="H62" s="67">
        <f>SUM(E62:G62)</f>
        <v>206744</v>
      </c>
    </row>
    <row r="63" spans="1:8" ht="14.25">
      <c r="A63" s="60"/>
      <c r="B63" s="23"/>
      <c r="C63" s="61" t="s">
        <v>102</v>
      </c>
      <c r="D63" s="61"/>
      <c r="E63" s="184"/>
      <c r="F63" s="194">
        <v>85000</v>
      </c>
      <c r="G63" s="200"/>
      <c r="H63" s="67">
        <f>SUM(E63:G63)</f>
        <v>85000</v>
      </c>
    </row>
    <row r="64" spans="1:8" ht="14.25">
      <c r="A64" s="60"/>
      <c r="B64" s="23"/>
      <c r="C64" s="61" t="s">
        <v>240</v>
      </c>
      <c r="D64" s="61"/>
      <c r="E64" s="184"/>
      <c r="F64" s="194">
        <f>'Cost Summary'!I72</f>
        <v>30000</v>
      </c>
      <c r="G64" s="200"/>
      <c r="H64" s="67">
        <f>SUM(E64:G64)</f>
        <v>30000</v>
      </c>
    </row>
    <row r="65" spans="1:8" ht="14.25">
      <c r="A65" s="60"/>
      <c r="B65" s="23"/>
      <c r="C65" s="22"/>
      <c r="D65" s="61"/>
      <c r="E65" s="184"/>
      <c r="F65" s="194"/>
      <c r="G65" s="200"/>
      <c r="H65" s="67"/>
    </row>
    <row r="66" spans="1:8" ht="14.25">
      <c r="A66" s="83"/>
      <c r="B66" s="23" t="s">
        <v>105</v>
      </c>
      <c r="C66" s="61"/>
      <c r="D66" s="61"/>
      <c r="E66" s="184"/>
      <c r="F66" s="194"/>
      <c r="G66" s="200"/>
      <c r="H66" s="67"/>
    </row>
    <row r="67" spans="1:8" ht="14.25">
      <c r="A67" s="83"/>
      <c r="B67" s="23"/>
      <c r="C67" s="61" t="s">
        <v>226</v>
      </c>
      <c r="D67" s="61"/>
      <c r="E67" s="184"/>
      <c r="F67" s="194">
        <f>'Cost Summary'!I76</f>
        <v>0</v>
      </c>
      <c r="G67" s="200"/>
      <c r="H67" s="67">
        <f>SUM(E67:G67)</f>
        <v>0</v>
      </c>
    </row>
    <row r="68" spans="1:8" ht="14.25">
      <c r="A68" s="83"/>
      <c r="B68" s="23"/>
      <c r="C68" s="61" t="s">
        <v>106</v>
      </c>
      <c r="D68" s="61"/>
      <c r="E68" s="184"/>
      <c r="F68" s="194">
        <f>'Cost Summary'!I77</f>
        <v>0</v>
      </c>
      <c r="G68" s="200"/>
      <c r="H68" s="67">
        <f>SUM(E68:G68)</f>
        <v>0</v>
      </c>
    </row>
    <row r="69" spans="1:8" ht="14.25">
      <c r="A69" s="83"/>
      <c r="B69" s="23"/>
      <c r="C69" s="61" t="s">
        <v>227</v>
      </c>
      <c r="D69" s="61"/>
      <c r="E69" s="184"/>
      <c r="F69" s="194">
        <f>'Cost Summary'!I78</f>
        <v>0</v>
      </c>
      <c r="G69" s="200"/>
      <c r="H69" s="67">
        <f aca="true" t="shared" si="1" ref="H69:H76">SUM(E69:G69)</f>
        <v>0</v>
      </c>
    </row>
    <row r="70" spans="1:8" ht="14.25">
      <c r="A70" s="83"/>
      <c r="B70" s="23"/>
      <c r="C70" s="61" t="s">
        <v>107</v>
      </c>
      <c r="D70" s="61"/>
      <c r="E70" s="184"/>
      <c r="F70" s="194">
        <f>'Cost Summary'!I79</f>
        <v>65000</v>
      </c>
      <c r="G70" s="200"/>
      <c r="H70" s="67">
        <f t="shared" si="1"/>
        <v>65000</v>
      </c>
    </row>
    <row r="71" spans="1:8" ht="14.25">
      <c r="A71" s="83"/>
      <c r="B71" s="23"/>
      <c r="C71" s="61" t="s">
        <v>56</v>
      </c>
      <c r="D71" s="61"/>
      <c r="E71" s="184"/>
      <c r="F71" s="194">
        <f>'Cost Summary'!I80</f>
        <v>18000</v>
      </c>
      <c r="G71" s="200"/>
      <c r="H71" s="67">
        <f t="shared" si="1"/>
        <v>18000</v>
      </c>
    </row>
    <row r="72" spans="1:8" ht="14.25">
      <c r="A72" s="83"/>
      <c r="B72" s="23"/>
      <c r="C72" s="61" t="s">
        <v>108</v>
      </c>
      <c r="D72" s="61"/>
      <c r="E72" s="184"/>
      <c r="F72" s="194">
        <f>'Cost Summary'!I81</f>
        <v>22500</v>
      </c>
      <c r="G72" s="200"/>
      <c r="H72" s="67">
        <f t="shared" si="1"/>
        <v>22500</v>
      </c>
    </row>
    <row r="73" spans="1:8" ht="14.25">
      <c r="A73" s="83"/>
      <c r="B73" s="23"/>
      <c r="C73" s="61" t="s">
        <v>109</v>
      </c>
      <c r="D73" s="61"/>
      <c r="E73" s="184"/>
      <c r="F73" s="194">
        <f>'Cost Summary'!I82</f>
        <v>25000</v>
      </c>
      <c r="G73" s="200"/>
      <c r="H73" s="67">
        <f t="shared" si="1"/>
        <v>25000</v>
      </c>
    </row>
    <row r="74" spans="1:8" ht="14.25">
      <c r="A74" s="83"/>
      <c r="B74" s="23"/>
      <c r="C74" s="61" t="s">
        <v>110</v>
      </c>
      <c r="D74" s="61"/>
      <c r="E74" s="184">
        <f>'Cost Summary'!I83</f>
        <v>38965.77</v>
      </c>
      <c r="F74" s="194"/>
      <c r="G74" s="200"/>
      <c r="H74" s="67">
        <f t="shared" si="1"/>
        <v>38965.77</v>
      </c>
    </row>
    <row r="75" spans="1:8" ht="14.25">
      <c r="A75" s="83"/>
      <c r="B75" s="23"/>
      <c r="C75" s="61" t="s">
        <v>111</v>
      </c>
      <c r="D75" s="61"/>
      <c r="E75" s="184"/>
      <c r="F75" s="194">
        <f>'Cost Summary'!I84</f>
        <v>15000</v>
      </c>
      <c r="G75" s="200"/>
      <c r="H75" s="67">
        <f t="shared" si="1"/>
        <v>15000</v>
      </c>
    </row>
    <row r="76" spans="1:8" ht="14.25">
      <c r="A76" s="83"/>
      <c r="B76" s="23"/>
      <c r="C76" s="61" t="s">
        <v>112</v>
      </c>
      <c r="D76" s="61"/>
      <c r="E76" s="184"/>
      <c r="F76" s="195" t="s">
        <v>254</v>
      </c>
      <c r="G76" s="200"/>
      <c r="H76" s="67">
        <f t="shared" si="1"/>
        <v>0</v>
      </c>
    </row>
    <row r="77" spans="1:8" ht="14.25">
      <c r="A77" s="83"/>
      <c r="B77" s="23"/>
      <c r="C77" s="61"/>
      <c r="D77" s="61"/>
      <c r="E77" s="184"/>
      <c r="F77" s="194"/>
      <c r="G77" s="200"/>
      <c r="H77" s="67"/>
    </row>
    <row r="78" spans="1:8" ht="14.25">
      <c r="A78" s="60" t="s">
        <v>120</v>
      </c>
      <c r="B78" s="23"/>
      <c r="C78" s="86"/>
      <c r="D78" s="86"/>
      <c r="E78" s="184"/>
      <c r="F78" s="194"/>
      <c r="G78" s="200"/>
      <c r="H78" s="67"/>
    </row>
    <row r="79" spans="1:8" ht="14.25">
      <c r="A79" s="60"/>
      <c r="B79" s="23" t="s">
        <v>121</v>
      </c>
      <c r="C79" s="86"/>
      <c r="D79" s="86"/>
      <c r="E79" s="184"/>
      <c r="F79" s="194"/>
      <c r="G79" s="200"/>
      <c r="H79" s="67"/>
    </row>
    <row r="80" spans="1:8" ht="14.25">
      <c r="A80" s="60"/>
      <c r="B80" s="23"/>
      <c r="C80" s="86" t="s">
        <v>122</v>
      </c>
      <c r="D80" s="86"/>
      <c r="E80" s="184"/>
      <c r="F80" s="194"/>
      <c r="G80" s="200"/>
      <c r="H80" s="67"/>
    </row>
    <row r="81" spans="1:8" ht="14.25">
      <c r="A81" s="60"/>
      <c r="B81" s="23"/>
      <c r="C81" s="86"/>
      <c r="D81" s="61" t="s">
        <v>222</v>
      </c>
      <c r="E81" s="184"/>
      <c r="F81" s="194">
        <f>'Cost Summary'!I93</f>
        <v>1741485</v>
      </c>
      <c r="G81" s="200"/>
      <c r="H81" s="67">
        <f>SUM(E81:G81)</f>
        <v>1741485</v>
      </c>
    </row>
    <row r="82" spans="1:8" ht="14.25">
      <c r="A82" s="60"/>
      <c r="B82" s="23"/>
      <c r="C82" s="86"/>
      <c r="D82" s="61" t="s">
        <v>223</v>
      </c>
      <c r="E82" s="184"/>
      <c r="F82" s="194">
        <f>'Cost Summary'!I94</f>
        <v>2748767</v>
      </c>
      <c r="G82" s="200"/>
      <c r="H82" s="67">
        <f>SUM(E82:G82)</f>
        <v>2748767</v>
      </c>
    </row>
    <row r="83" spans="1:8" ht="14.25">
      <c r="A83" s="60"/>
      <c r="B83" s="23"/>
      <c r="C83" s="86"/>
      <c r="D83" s="61" t="s">
        <v>224</v>
      </c>
      <c r="E83" s="184"/>
      <c r="F83" s="194">
        <f>'Cost Summary'!I95</f>
        <v>1926522</v>
      </c>
      <c r="G83" s="200"/>
      <c r="H83" s="67">
        <f>SUM(E83:G83)</f>
        <v>1926522</v>
      </c>
    </row>
    <row r="84" spans="1:8" ht="14.25">
      <c r="A84" s="60"/>
      <c r="B84" s="23"/>
      <c r="C84" s="86"/>
      <c r="D84" s="61" t="s">
        <v>221</v>
      </c>
      <c r="E84" s="184"/>
      <c r="F84" s="194">
        <f>'Cost Summary'!I96</f>
        <v>1343730</v>
      </c>
      <c r="G84" s="200"/>
      <c r="H84" s="67">
        <f>SUM(E84:G84)</f>
        <v>1343730</v>
      </c>
    </row>
    <row r="85" spans="1:8" ht="14.25">
      <c r="A85" s="60"/>
      <c r="B85" s="23"/>
      <c r="C85" s="86"/>
      <c r="D85" s="61" t="s">
        <v>225</v>
      </c>
      <c r="E85" s="184"/>
      <c r="F85" s="194">
        <f>'Cost Summary'!I97</f>
        <v>1286439</v>
      </c>
      <c r="G85" s="200"/>
      <c r="H85" s="67">
        <f>SUM(E85:G85)</f>
        <v>1286439</v>
      </c>
    </row>
    <row r="86" spans="1:8" ht="14.25">
      <c r="A86" s="60"/>
      <c r="B86" s="23"/>
      <c r="C86" s="86" t="s">
        <v>124</v>
      </c>
      <c r="D86" s="61"/>
      <c r="E86" s="184"/>
      <c r="F86" s="194"/>
      <c r="G86" s="200"/>
      <c r="H86" s="67"/>
    </row>
    <row r="87" spans="1:8" ht="14.25">
      <c r="A87" s="60"/>
      <c r="B87" s="23"/>
      <c r="C87" s="86"/>
      <c r="D87" s="61" t="s">
        <v>222</v>
      </c>
      <c r="E87" s="184"/>
      <c r="F87" s="194">
        <f>'Cost Summary'!I100</f>
        <v>656250</v>
      </c>
      <c r="G87" s="200"/>
      <c r="H87" s="67">
        <f>SUM(E87:G87)</f>
        <v>656250</v>
      </c>
    </row>
    <row r="88" spans="1:8" ht="14.25">
      <c r="A88" s="60"/>
      <c r="B88" s="23"/>
      <c r="C88" s="86"/>
      <c r="D88" s="61" t="s">
        <v>223</v>
      </c>
      <c r="E88" s="184"/>
      <c r="F88" s="194">
        <f>'Cost Summary'!I101</f>
        <v>1346450</v>
      </c>
      <c r="G88" s="200"/>
      <c r="H88" s="67">
        <f>SUM(E88:G88)</f>
        <v>1346450</v>
      </c>
    </row>
    <row r="89" spans="1:8" ht="14.25">
      <c r="A89" s="60"/>
      <c r="B89" s="23"/>
      <c r="C89" s="86"/>
      <c r="D89" s="61" t="s">
        <v>224</v>
      </c>
      <c r="E89" s="184"/>
      <c r="F89" s="194">
        <f>'Cost Summary'!I102</f>
        <v>770000</v>
      </c>
      <c r="G89" s="200"/>
      <c r="H89" s="67">
        <f>SUM(E89:G89)</f>
        <v>770000</v>
      </c>
    </row>
    <row r="90" spans="1:8" ht="14.25">
      <c r="A90" s="60"/>
      <c r="B90" s="23"/>
      <c r="C90" s="86"/>
      <c r="D90" s="61" t="s">
        <v>221</v>
      </c>
      <c r="E90" s="184"/>
      <c r="F90" s="194">
        <f>'Cost Summary'!I103</f>
        <v>431200</v>
      </c>
      <c r="G90" s="200"/>
      <c r="H90" s="67">
        <f>SUM(E90:G90)</f>
        <v>431200</v>
      </c>
    </row>
    <row r="91" spans="1:8" ht="14.25">
      <c r="A91" s="60"/>
      <c r="B91" s="23"/>
      <c r="C91" s="86"/>
      <c r="D91" s="61" t="s">
        <v>225</v>
      </c>
      <c r="E91" s="184"/>
      <c r="F91" s="194">
        <f>'Cost Summary'!I104</f>
        <v>414120</v>
      </c>
      <c r="G91" s="200"/>
      <c r="H91" s="67">
        <f>SUM(E91:G91)</f>
        <v>414120</v>
      </c>
    </row>
    <row r="92" spans="1:8" ht="14.25">
      <c r="A92" s="60"/>
      <c r="B92" s="23"/>
      <c r="C92" s="86"/>
      <c r="D92" s="61"/>
      <c r="E92" s="184"/>
      <c r="F92" s="194"/>
      <c r="G92" s="200"/>
      <c r="H92" s="67"/>
    </row>
    <row r="93" spans="1:8" ht="14.25">
      <c r="A93" s="60"/>
      <c r="B93" s="23" t="s">
        <v>128</v>
      </c>
      <c r="C93" s="61"/>
      <c r="D93" s="61"/>
      <c r="E93" s="184"/>
      <c r="F93" s="194"/>
      <c r="G93" s="200"/>
      <c r="H93" s="67"/>
    </row>
    <row r="94" spans="1:8" ht="14.25">
      <c r="A94" s="60"/>
      <c r="B94" s="23"/>
      <c r="C94" s="86" t="s">
        <v>129</v>
      </c>
      <c r="D94" s="86"/>
      <c r="E94" s="184"/>
      <c r="F94" s="194">
        <f>'Cost Summary'!I110</f>
        <v>18000</v>
      </c>
      <c r="G94" s="200"/>
      <c r="H94" s="67">
        <f aca="true" t="shared" si="2" ref="H94:H101">SUM(E94:G94)</f>
        <v>18000</v>
      </c>
    </row>
    <row r="95" spans="1:8" ht="14.25">
      <c r="A95" s="60"/>
      <c r="B95" s="23"/>
      <c r="C95" s="61" t="s">
        <v>131</v>
      </c>
      <c r="D95" s="61"/>
      <c r="E95" s="184"/>
      <c r="F95" s="194">
        <f>'Cost Summary'!I111</f>
        <v>25000</v>
      </c>
      <c r="G95" s="200"/>
      <c r="H95" s="67">
        <f t="shared" si="2"/>
        <v>25000</v>
      </c>
    </row>
    <row r="96" spans="1:8" ht="14.25">
      <c r="A96" s="85"/>
      <c r="B96" s="86"/>
      <c r="C96" s="61" t="s">
        <v>132</v>
      </c>
      <c r="D96" s="61"/>
      <c r="E96" s="184"/>
      <c r="F96" s="194">
        <f>'Cost Summary'!I112</f>
        <v>1353430</v>
      </c>
      <c r="G96" s="200"/>
      <c r="H96" s="67">
        <f t="shared" si="2"/>
        <v>1353430</v>
      </c>
    </row>
    <row r="97" spans="1:8" ht="14.25">
      <c r="A97" s="85"/>
      <c r="B97" s="86"/>
      <c r="C97" s="61" t="s">
        <v>133</v>
      </c>
      <c r="D97" s="61"/>
      <c r="E97" s="184">
        <f>'Cost Summary'!I113-F97</f>
        <v>988045.2930755706</v>
      </c>
      <c r="F97" s="194">
        <v>600000</v>
      </c>
      <c r="G97" s="200"/>
      <c r="H97" s="67">
        <f>SUM(E97:G97)</f>
        <v>1588045.2930755706</v>
      </c>
    </row>
    <row r="98" spans="1:8" ht="14.25">
      <c r="A98" s="85"/>
      <c r="B98" s="86"/>
      <c r="C98" s="61" t="s">
        <v>134</v>
      </c>
      <c r="D98" s="61"/>
      <c r="E98" s="184"/>
      <c r="F98" s="194">
        <f>'Cost Summary'!I114</f>
        <v>1376617.75</v>
      </c>
      <c r="G98" s="200"/>
      <c r="H98" s="67">
        <f t="shared" si="2"/>
        <v>1376617.75</v>
      </c>
    </row>
    <row r="99" spans="1:8" ht="14.25">
      <c r="A99" s="85"/>
      <c r="B99" s="86"/>
      <c r="C99" s="61" t="s">
        <v>135</v>
      </c>
      <c r="D99" s="61"/>
      <c r="E99" s="184"/>
      <c r="F99" s="194">
        <f>'Cost Summary'!I115</f>
        <v>75000</v>
      </c>
      <c r="G99" s="200"/>
      <c r="H99" s="67">
        <f t="shared" si="2"/>
        <v>75000</v>
      </c>
    </row>
    <row r="100" spans="1:8" ht="14.25">
      <c r="A100" s="85"/>
      <c r="B100" s="86"/>
      <c r="C100" s="61" t="s">
        <v>136</v>
      </c>
      <c r="D100" s="61"/>
      <c r="E100" s="184"/>
      <c r="F100" s="194">
        <f>'Cost Summary'!I116</f>
        <v>85000</v>
      </c>
      <c r="G100" s="200"/>
      <c r="H100" s="67">
        <f t="shared" si="2"/>
        <v>85000</v>
      </c>
    </row>
    <row r="101" spans="1:8" ht="14.25">
      <c r="A101" s="85"/>
      <c r="B101" s="86"/>
      <c r="C101" s="61" t="s">
        <v>138</v>
      </c>
      <c r="D101" s="61"/>
      <c r="E101" s="184"/>
      <c r="F101" s="194">
        <f>'Cost Summary'!I117</f>
        <v>36000</v>
      </c>
      <c r="G101" s="200"/>
      <c r="H101" s="67">
        <f t="shared" si="2"/>
        <v>36000</v>
      </c>
    </row>
    <row r="102" spans="1:8" ht="14.25">
      <c r="A102" s="85"/>
      <c r="B102" s="86"/>
      <c r="C102" s="61" t="s">
        <v>139</v>
      </c>
      <c r="D102" s="61"/>
      <c r="E102" s="184"/>
      <c r="F102" s="194">
        <f>'Cost Summary'!I118</f>
        <v>0</v>
      </c>
      <c r="G102" s="200"/>
      <c r="H102" s="67"/>
    </row>
    <row r="103" spans="1:8" ht="14.25">
      <c r="A103" s="85"/>
      <c r="B103" s="86"/>
      <c r="C103" s="61" t="s">
        <v>140</v>
      </c>
      <c r="D103" s="61"/>
      <c r="E103" s="184"/>
      <c r="F103" s="194">
        <f>'Cost Summary'!I119</f>
        <v>0</v>
      </c>
      <c r="G103" s="200"/>
      <c r="H103" s="67"/>
    </row>
    <row r="104" spans="1:8" ht="14.25">
      <c r="A104" s="85"/>
      <c r="B104" s="86"/>
      <c r="C104" s="61" t="s">
        <v>141</v>
      </c>
      <c r="D104" s="61"/>
      <c r="E104" s="184">
        <f>'Cost Summary'!I120</f>
        <v>157397.82</v>
      </c>
      <c r="F104" s="194"/>
      <c r="G104" s="200"/>
      <c r="H104" s="67">
        <f>SUM(E104:G104)</f>
        <v>157397.82</v>
      </c>
    </row>
    <row r="105" spans="1:8" ht="14.25" customHeight="1">
      <c r="A105" s="85"/>
      <c r="B105" s="23"/>
      <c r="C105" s="23"/>
      <c r="D105" s="23"/>
      <c r="E105" s="184"/>
      <c r="F105" s="194"/>
      <c r="G105" s="200"/>
      <c r="H105" s="67"/>
    </row>
    <row r="106" spans="1:9" ht="14.25" customHeight="1">
      <c r="A106" s="60" t="s">
        <v>275</v>
      </c>
      <c r="B106" s="23"/>
      <c r="C106" s="23"/>
      <c r="D106" s="23"/>
      <c r="E106" s="184"/>
      <c r="F106" s="194">
        <f>'Cost Summary'!J125</f>
        <v>1242748.5993</v>
      </c>
      <c r="G106" s="200"/>
      <c r="H106" s="67">
        <f>SUM(E106:G106)</f>
        <v>1242748.5993</v>
      </c>
      <c r="I106" s="52"/>
    </row>
    <row r="107" spans="1:8" ht="14.25">
      <c r="A107" s="85"/>
      <c r="B107" s="86"/>
      <c r="C107" s="86"/>
      <c r="D107" s="86"/>
      <c r="E107" s="184"/>
      <c r="F107" s="194"/>
      <c r="G107" s="200"/>
      <c r="H107" s="73"/>
    </row>
    <row r="108" spans="1:8" ht="15">
      <c r="A108" s="87" t="s">
        <v>152</v>
      </c>
      <c r="B108" s="23"/>
      <c r="C108" s="86"/>
      <c r="D108" s="86"/>
      <c r="E108" s="74">
        <f>SUM(E5:E107)</f>
        <v>8760573.969964834</v>
      </c>
      <c r="F108" s="196">
        <f>SUM(F5:F107)</f>
        <v>18938432.3493</v>
      </c>
      <c r="G108" s="202">
        <f>SUM(G5:G107)</f>
        <v>14832919.69</v>
      </c>
      <c r="H108" s="77">
        <f>SUM(H5:H107)</f>
        <v>42531926.00926483</v>
      </c>
    </row>
    <row r="109" spans="1:8" ht="14.25">
      <c r="A109" s="60"/>
      <c r="B109" s="23"/>
      <c r="C109" s="86"/>
      <c r="D109" s="86"/>
      <c r="E109" s="184"/>
      <c r="F109" s="194"/>
      <c r="G109" s="200"/>
      <c r="H109" s="73"/>
    </row>
    <row r="110" spans="1:8" ht="15.75" thickBot="1">
      <c r="A110" s="106" t="s">
        <v>153</v>
      </c>
      <c r="B110" s="95"/>
      <c r="C110" s="95"/>
      <c r="D110" s="95"/>
      <c r="E110" s="107">
        <f>H108-G110-F110</f>
        <v>6758651.009264827</v>
      </c>
      <c r="F110" s="197">
        <f>ProForma!M41</f>
        <v>18850000</v>
      </c>
      <c r="G110" s="203">
        <f>ProForma!M27</f>
        <v>16923275</v>
      </c>
      <c r="H110" s="108">
        <f>G110+F110+E110</f>
        <v>42531926.00926483</v>
      </c>
    </row>
    <row r="112" ht="14.25">
      <c r="B112" s="160">
        <v>43543</v>
      </c>
    </row>
    <row r="113" ht="14.25">
      <c r="H113" s="52"/>
    </row>
  </sheetData>
  <sheetProtection/>
  <printOptions/>
  <pageMargins left="0.45" right="0.45" top="0.5" bottom="0" header="0.3" footer="0.3"/>
  <pageSetup fitToHeight="1" fitToWidth="1" horizontalDpi="600" verticalDpi="600" orientation="portrait" paperSize="17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Dean Beukema</cp:lastModifiedBy>
  <cp:lastPrinted>2019-03-26T20:40:09Z</cp:lastPrinted>
  <dcterms:created xsi:type="dcterms:W3CDTF">2009-01-12T03:03:46Z</dcterms:created>
  <dcterms:modified xsi:type="dcterms:W3CDTF">2019-04-21T20:10:38Z</dcterms:modified>
  <cp:category/>
  <cp:version/>
  <cp:contentType/>
  <cp:contentStatus/>
</cp:coreProperties>
</file>